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8016"/>
  <workbookPr autoCompressPictures="0"/>
  <mc:AlternateContent xmlns:mc="http://schemas.openxmlformats.org/markup-compatibility/2006">
    <mc:Choice Requires="x15">
      <x15ac:absPath xmlns:x15ac="http://schemas.microsoft.com/office/spreadsheetml/2010/11/ac" url="/Users/inigoirizararcelus/Desktop/"/>
    </mc:Choice>
  </mc:AlternateContent>
  <bookViews>
    <workbookView xWindow="780" yWindow="460" windowWidth="21340" windowHeight="25580" activeTab="4"/>
  </bookViews>
  <sheets>
    <sheet name="Datos" sheetId="1" r:id="rId1"/>
    <sheet name="OyA" sheetId="2" r:id="rId2"/>
    <sheet name="RatioTesoreria" sheetId="7" r:id="rId3"/>
    <sheet name="Du Pont" sheetId="3" r:id="rId4"/>
    <sheet name="PMuerto" sheetId="4" r:id="rId5"/>
    <sheet name="Crecimiento" sheetId="8" r:id="rId6"/>
    <sheet name="FCF" sheetId="5" r:id="rId7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8" i="1" l="1"/>
  <c r="E21" i="1"/>
  <c r="E24" i="2"/>
  <c r="C8" i="1"/>
  <c r="C21" i="1"/>
  <c r="C24" i="2"/>
  <c r="C41" i="1"/>
  <c r="E14" i="1"/>
  <c r="E4" i="8"/>
  <c r="E5" i="8"/>
  <c r="E35" i="1"/>
  <c r="E37" i="1"/>
  <c r="E41" i="1"/>
  <c r="E43" i="1"/>
  <c r="E45" i="1"/>
  <c r="E49" i="1"/>
  <c r="E53" i="1"/>
  <c r="E55" i="1"/>
  <c r="E59" i="1"/>
  <c r="E10" i="3"/>
  <c r="E9" i="3"/>
  <c r="E11" i="3"/>
  <c r="E2" i="8"/>
  <c r="E7" i="8"/>
  <c r="C14" i="1"/>
  <c r="C4" i="8"/>
  <c r="C5" i="8"/>
  <c r="C35" i="1"/>
  <c r="C37" i="1"/>
  <c r="C43" i="1"/>
  <c r="C45" i="1"/>
  <c r="C49" i="1"/>
  <c r="C53" i="1"/>
  <c r="C55" i="1"/>
  <c r="C59" i="1"/>
  <c r="C10" i="3"/>
  <c r="C9" i="3"/>
  <c r="C11" i="3"/>
  <c r="C2" i="8"/>
  <c r="C7" i="8"/>
  <c r="E1" i="8"/>
  <c r="C1" i="8"/>
  <c r="E1" i="7"/>
  <c r="C1" i="7"/>
  <c r="E6" i="7"/>
  <c r="E26" i="1"/>
  <c r="E3" i="7"/>
  <c r="E7" i="7"/>
  <c r="E8" i="7"/>
  <c r="C6" i="7"/>
  <c r="C26" i="1"/>
  <c r="C3" i="7"/>
  <c r="C7" i="7"/>
  <c r="C8" i="7"/>
  <c r="E2" i="7"/>
  <c r="E4" i="7"/>
  <c r="C2" i="7"/>
  <c r="C4" i="7"/>
  <c r="E3" i="4"/>
  <c r="C3" i="4"/>
  <c r="E2" i="3"/>
  <c r="C2" i="3"/>
  <c r="E22" i="2"/>
  <c r="C22" i="2"/>
  <c r="E30" i="1"/>
  <c r="C30" i="1"/>
  <c r="E27" i="3"/>
  <c r="E26" i="3"/>
  <c r="E25" i="3"/>
  <c r="C27" i="3"/>
  <c r="C26" i="3"/>
  <c r="C25" i="3"/>
  <c r="K41" i="5"/>
  <c r="C56" i="5"/>
  <c r="C52" i="5"/>
  <c r="S54" i="5"/>
  <c r="C46" i="5"/>
  <c r="C43" i="5"/>
  <c r="C40" i="5"/>
  <c r="C28" i="5"/>
  <c r="C37" i="5"/>
  <c r="C34" i="5"/>
  <c r="C31" i="5"/>
  <c r="K21" i="5"/>
  <c r="K18" i="5"/>
  <c r="S27" i="5"/>
  <c r="C23" i="5"/>
  <c r="C20" i="5"/>
  <c r="C17" i="5"/>
  <c r="C14" i="5"/>
  <c r="C11" i="5"/>
  <c r="C8" i="5"/>
  <c r="O23" i="5"/>
  <c r="G10" i="5"/>
  <c r="E6" i="4"/>
  <c r="E7" i="4"/>
  <c r="E13" i="4"/>
  <c r="E4" i="4"/>
  <c r="E15" i="4"/>
  <c r="C6" i="4"/>
  <c r="C7" i="4"/>
  <c r="C13" i="4"/>
  <c r="C4" i="4"/>
  <c r="C15" i="4"/>
  <c r="E7" i="3"/>
  <c r="E6" i="3"/>
  <c r="E5" i="3"/>
  <c r="E4" i="3"/>
  <c r="E3" i="3"/>
  <c r="C7" i="3"/>
  <c r="C6" i="3"/>
  <c r="C5" i="3"/>
  <c r="C4" i="3"/>
  <c r="C3" i="3"/>
  <c r="E28" i="1"/>
  <c r="E20" i="3"/>
  <c r="C28" i="1"/>
  <c r="C20" i="3"/>
  <c r="E19" i="3"/>
  <c r="C19" i="3"/>
  <c r="E16" i="1"/>
  <c r="E14" i="3"/>
  <c r="C16" i="1"/>
  <c r="C14" i="3"/>
  <c r="E13" i="3"/>
  <c r="E15" i="3"/>
  <c r="C13" i="3"/>
  <c r="C15" i="3"/>
  <c r="A20" i="3"/>
  <c r="A19" i="3"/>
  <c r="A14" i="3"/>
  <c r="A13" i="3"/>
  <c r="A10" i="3"/>
  <c r="A9" i="3"/>
  <c r="E19" i="2"/>
  <c r="E18" i="2"/>
  <c r="E17" i="2"/>
  <c r="E10" i="2"/>
  <c r="E9" i="2"/>
  <c r="E8" i="2"/>
  <c r="C19" i="2"/>
  <c r="C18" i="2"/>
  <c r="C17" i="2"/>
  <c r="C10" i="2"/>
  <c r="C9" i="2"/>
  <c r="C8" i="2"/>
  <c r="E16" i="2"/>
  <c r="E15" i="2"/>
  <c r="E14" i="2"/>
  <c r="E13" i="2"/>
  <c r="E20" i="2"/>
  <c r="E4" i="2"/>
  <c r="C16" i="2"/>
  <c r="C15" i="2"/>
  <c r="C14" i="2"/>
  <c r="C13" i="2"/>
  <c r="C7" i="2"/>
  <c r="C6" i="2"/>
  <c r="C5" i="2"/>
  <c r="C4" i="2"/>
  <c r="E7" i="2"/>
  <c r="E6" i="2"/>
  <c r="E5" i="2"/>
  <c r="E23" i="2"/>
  <c r="C23" i="2"/>
  <c r="A19" i="2"/>
  <c r="A18" i="2"/>
  <c r="A17" i="2"/>
  <c r="A16" i="2"/>
  <c r="A15" i="2"/>
  <c r="A14" i="2"/>
  <c r="A13" i="2"/>
  <c r="A10" i="2"/>
  <c r="A9" i="2"/>
  <c r="A8" i="2"/>
  <c r="A7" i="2"/>
  <c r="A6" i="2"/>
  <c r="A5" i="2"/>
  <c r="A4" i="2"/>
  <c r="G42" i="5"/>
  <c r="G30" i="5"/>
  <c r="G19" i="5"/>
  <c r="K15" i="5"/>
  <c r="O20" i="5"/>
  <c r="C9" i="4"/>
  <c r="C11" i="4"/>
  <c r="E9" i="4"/>
  <c r="E11" i="4"/>
  <c r="E17" i="3"/>
  <c r="E21" i="3"/>
  <c r="C17" i="3"/>
  <c r="C21" i="3"/>
  <c r="E11" i="2"/>
  <c r="F23" i="2"/>
  <c r="C11" i="2"/>
  <c r="C20" i="2"/>
  <c r="F20" i="2"/>
  <c r="F11" i="2"/>
  <c r="K36" i="5"/>
  <c r="S39" i="5"/>
  <c r="S22" i="5"/>
  <c r="C23" i="3"/>
  <c r="E23" i="3"/>
  <c r="W25" i="5"/>
</calcChain>
</file>

<file path=xl/sharedStrings.xml><?xml version="1.0" encoding="utf-8"?>
<sst xmlns="http://schemas.openxmlformats.org/spreadsheetml/2006/main" count="155" uniqueCount="124">
  <si>
    <t>Conceptos</t>
  </si>
  <si>
    <t>Inmovilizaciones inmateriales</t>
  </si>
  <si>
    <t>Inmovilizaciones materiales</t>
  </si>
  <si>
    <t>Gastos a distribuir en varios ejercicios</t>
  </si>
  <si>
    <t>Total Activo Fijo</t>
  </si>
  <si>
    <t>Existencias</t>
  </si>
  <si>
    <t>Deudores</t>
  </si>
  <si>
    <t>Inversiones financieras temporales</t>
  </si>
  <si>
    <t>Tesorería</t>
  </si>
  <si>
    <t>Total Activo Circulante</t>
  </si>
  <si>
    <t>Total Activo</t>
  </si>
  <si>
    <t>Fondos Propios</t>
  </si>
  <si>
    <t>Acreedores a Largo Plazo</t>
  </si>
  <si>
    <t>Total Pasivo a Largo Plazo</t>
  </si>
  <si>
    <t>Proveedores</t>
  </si>
  <si>
    <t>Bancos y otros proveedores financieros a corto plazo</t>
  </si>
  <si>
    <t>Otros acreedores</t>
  </si>
  <si>
    <t>Total Pasivo a Corto Plazo</t>
  </si>
  <si>
    <t>Total Pasivo</t>
  </si>
  <si>
    <t>Conceptos de Balance</t>
  </si>
  <si>
    <t>Conceptos de Cuenta de resultados</t>
  </si>
  <si>
    <t>Ingresos de explotación</t>
  </si>
  <si>
    <t>Coste de mercancias vendidas</t>
  </si>
  <si>
    <t>Margen Bruto</t>
  </si>
  <si>
    <t>Gastos de personal</t>
  </si>
  <si>
    <t>Amortizaciones</t>
  </si>
  <si>
    <t>Otros Gastos de Explotación</t>
  </si>
  <si>
    <t>Total Gastos Fijos</t>
  </si>
  <si>
    <t>Otros gastos variables</t>
  </si>
  <si>
    <t>Total Gastos Variables</t>
  </si>
  <si>
    <t>Ingresos Financieros</t>
  </si>
  <si>
    <t>Gastos financieros y asimilados</t>
  </si>
  <si>
    <t>Resultados financieros</t>
  </si>
  <si>
    <t>Ingresos extraordinarios</t>
  </si>
  <si>
    <t>Gastos extraordinarios</t>
  </si>
  <si>
    <t>Resultados extraordinarios</t>
  </si>
  <si>
    <t>Resultado neto</t>
  </si>
  <si>
    <t>Resultado neto antes de Impuestos</t>
  </si>
  <si>
    <t>Impuestos</t>
  </si>
  <si>
    <t>EBITDA</t>
  </si>
  <si>
    <t>Origen y Aplicación de fondos</t>
  </si>
  <si>
    <t>Origen</t>
  </si>
  <si>
    <t>Aplicación</t>
  </si>
  <si>
    <t>Fondo de Maniobra</t>
  </si>
  <si>
    <t>Total origen y aplicaciones a corto plazo</t>
  </si>
  <si>
    <t>Total origen y aplicaciones a largo plazo</t>
  </si>
  <si>
    <t>Evolución</t>
  </si>
  <si>
    <t>Análisis Du Pont</t>
  </si>
  <si>
    <t>Rentabilidad sobre Ventas</t>
  </si>
  <si>
    <t>Rotación de Activos</t>
  </si>
  <si>
    <t>Apalancamiento financiero</t>
  </si>
  <si>
    <t>Rentabilidad sobre Activos</t>
  </si>
  <si>
    <t>Rentabilidad sobre Fondos Propios</t>
  </si>
  <si>
    <t>Margen bruto (% sobre venta)</t>
  </si>
  <si>
    <t>EBITDA (% sobre venta)</t>
  </si>
  <si>
    <t>Resultado operaciones (% sobre venta)</t>
  </si>
  <si>
    <t>Resultados financieros (% sobre venta)</t>
  </si>
  <si>
    <t>Resultados extraordinarios (% sobre venta)</t>
  </si>
  <si>
    <t>Puento Muerto</t>
  </si>
  <si>
    <t>Gastos Variables (% sobre ventas)</t>
  </si>
  <si>
    <t>Gastos financieros</t>
  </si>
  <si>
    <t>Devoluciones de préstamos</t>
  </si>
  <si>
    <t>Total salidas de dinero</t>
  </si>
  <si>
    <t>Gastos fijos (sin amortizaciones)</t>
  </si>
  <si>
    <t>Punto Muerto de Cobros y Pagos</t>
  </si>
  <si>
    <t>Umbral de Rentabilidad</t>
  </si>
  <si>
    <t>Flujos de Caja Libres</t>
  </si>
  <si>
    <t>Cuenta de resultados</t>
  </si>
  <si>
    <t>Input</t>
  </si>
  <si>
    <t>Ventas</t>
  </si>
  <si>
    <t>Output</t>
  </si>
  <si>
    <t>Margen bruto</t>
  </si>
  <si>
    <t>Otros ingresos</t>
  </si>
  <si>
    <t>+</t>
  </si>
  <si>
    <t>Coste de ventas</t>
  </si>
  <si>
    <t>-</t>
  </si>
  <si>
    <t>EBIT</t>
  </si>
  <si>
    <t>Gastos Generales</t>
  </si>
  <si>
    <t>Gastos</t>
  </si>
  <si>
    <t>Intereses</t>
  </si>
  <si>
    <t>Operativos</t>
  </si>
  <si>
    <t>Beneficio neto</t>
  </si>
  <si>
    <t>Beneficio +</t>
  </si>
  <si>
    <t>Otros gastos</t>
  </si>
  <si>
    <t>= Amortizaciones</t>
  </si>
  <si>
    <t>Free</t>
  </si>
  <si>
    <t>Cash Flow</t>
  </si>
  <si>
    <t>(FCF)</t>
  </si>
  <si>
    <t>= Intereses</t>
  </si>
  <si>
    <t>Activo Circulante</t>
  </si>
  <si>
    <t>Cuentas a cobrar</t>
  </si>
  <si>
    <t>Inventario</t>
  </si>
  <si>
    <t>Fondo de</t>
  </si>
  <si>
    <t>Maniobra</t>
  </si>
  <si>
    <t>Final</t>
  </si>
  <si>
    <t>Otros</t>
  </si>
  <si>
    <t>Change in</t>
  </si>
  <si>
    <t>Working</t>
  </si>
  <si>
    <t>Capital</t>
  </si>
  <si>
    <t>Cuentas a pagar</t>
  </si>
  <si>
    <t>Inicial</t>
  </si>
  <si>
    <t>Pasivo a corto</t>
  </si>
  <si>
    <t>Préstamos a corto</t>
  </si>
  <si>
    <t>Inversiones</t>
  </si>
  <si>
    <t>Activos fijos</t>
  </si>
  <si>
    <t>Finales</t>
  </si>
  <si>
    <t>(CAPEX)</t>
  </si>
  <si>
    <t>Iniciales</t>
  </si>
  <si>
    <t>Días de cobro</t>
  </si>
  <si>
    <t>Días de pago</t>
  </si>
  <si>
    <t>Días de existencias</t>
  </si>
  <si>
    <t>Ratios tesorería</t>
  </si>
  <si>
    <t>Activo Circulante/Pasivo circulante (Current Ratio)(Ratio de Solvencia)</t>
  </si>
  <si>
    <t>Activo Circulante - Existencias</t>
  </si>
  <si>
    <t>(Activo Circulante-Existencias)/Pasivo Circulante (Quick Ratio) (Ratio de liquidez)</t>
  </si>
  <si>
    <t>Pasivo Circulante</t>
  </si>
  <si>
    <t>Rentabilidad sobre ventas</t>
  </si>
  <si>
    <t>NOF sobre ventas</t>
  </si>
  <si>
    <t>Crecimiento ventas=(Rentabilidad s/ventas)/(NOF sobre ventas-Rentabilidad sobre ventas)</t>
  </si>
  <si>
    <t>NOF</t>
  </si>
  <si>
    <t>Otros activos fijos</t>
  </si>
  <si>
    <t>Otros pasivos fijos</t>
  </si>
  <si>
    <t>Resultado de las operaciones (EBIT)</t>
  </si>
  <si>
    <t>Grupo Mobiliario del Urola, S.L. (XEY)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</si>
</sst>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4" formatCode="_-* #,##0.00\ [$€-C0A]_-;\-* #,##0.00\ [$€-C0A]_-;_-* &quot;-&quot;??\ [$€-C0A]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indexed="9"/>
      <name val="Impact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indexed="60"/>
        <bgColor indexed="64"/>
      </patternFill>
    </fill>
    <fill>
      <patternFill patternType="solid">
        <fgColor indexed="18"/>
        <bgColor indexed="64"/>
      </patternFill>
    </fill>
  </fills>
  <borders count="1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0"/>
      </left>
      <right/>
      <top style="medium">
        <color indexed="60"/>
      </top>
      <bottom/>
      <diagonal/>
    </border>
    <border>
      <left/>
      <right/>
      <top style="medium">
        <color indexed="60"/>
      </top>
      <bottom/>
      <diagonal/>
    </border>
    <border>
      <left/>
      <right style="medium">
        <color indexed="60"/>
      </right>
      <top style="medium">
        <color indexed="60"/>
      </top>
      <bottom/>
      <diagonal/>
    </border>
    <border>
      <left style="medium">
        <color indexed="18"/>
      </left>
      <right/>
      <top/>
      <bottom/>
      <diagonal/>
    </border>
    <border>
      <left/>
      <right style="medium">
        <color indexed="18"/>
      </right>
      <top/>
      <bottom/>
      <diagonal/>
    </border>
    <border>
      <left style="medium">
        <color indexed="60"/>
      </left>
      <right style="medium">
        <color indexed="60"/>
      </right>
      <top style="medium">
        <color indexed="60"/>
      </top>
      <bottom style="medium">
        <color indexed="6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18"/>
      </left>
      <right/>
      <top/>
      <bottom style="medium">
        <color indexed="18"/>
      </bottom>
      <diagonal/>
    </border>
    <border>
      <left/>
      <right/>
      <top/>
      <bottom style="medium">
        <color indexed="18"/>
      </bottom>
      <diagonal/>
    </border>
    <border>
      <left/>
      <right style="medium">
        <color indexed="18"/>
      </right>
      <top/>
      <bottom style="medium">
        <color indexed="18"/>
      </bottom>
      <diagonal/>
    </border>
  </borders>
  <cellStyleXfs count="12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1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54">
    <xf numFmtId="0" fontId="0" fillId="0" borderId="0" xfId="0"/>
    <xf numFmtId="0" fontId="6" fillId="0" borderId="0" xfId="0" applyFont="1" applyAlignment="1">
      <alignment horizontal="center"/>
    </xf>
    <xf numFmtId="164" fontId="2" fillId="2" borderId="0" xfId="3" applyNumberFormat="1"/>
    <xf numFmtId="164" fontId="4" fillId="4" borderId="1" xfId="5" applyNumberFormat="1"/>
    <xf numFmtId="164" fontId="0" fillId="0" borderId="0" xfId="0" applyNumberFormat="1"/>
    <xf numFmtId="0" fontId="6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44" fontId="0" fillId="0" borderId="0" xfId="1" applyFont="1"/>
    <xf numFmtId="44" fontId="0" fillId="0" borderId="0" xfId="0" applyNumberFormat="1"/>
    <xf numFmtId="10" fontId="0" fillId="0" borderId="0" xfId="2" applyNumberFormat="1" applyFont="1"/>
    <xf numFmtId="2" fontId="0" fillId="0" borderId="0" xfId="0" applyNumberFormat="1"/>
    <xf numFmtId="164" fontId="3" fillId="3" borderId="0" xfId="4" applyNumberFormat="1"/>
    <xf numFmtId="44" fontId="2" fillId="2" borderId="0" xfId="3" applyNumberFormat="1"/>
    <xf numFmtId="0" fontId="0" fillId="5" borderId="2" xfId="0" applyFill="1" applyBorder="1" applyAlignment="1"/>
    <xf numFmtId="0" fontId="8" fillId="5" borderId="3" xfId="0" applyFont="1" applyFill="1" applyBorder="1" applyAlignment="1"/>
    <xf numFmtId="0" fontId="0" fillId="5" borderId="3" xfId="0" applyFill="1" applyBorder="1" applyAlignment="1"/>
    <xf numFmtId="0" fontId="0" fillId="5" borderId="4" xfId="0" applyFill="1" applyBorder="1" applyAlignment="1"/>
    <xf numFmtId="0" fontId="0" fillId="6" borderId="5" xfId="0" applyFill="1" applyBorder="1"/>
    <xf numFmtId="0" fontId="0" fillId="6" borderId="0" xfId="0" applyFill="1" applyBorder="1"/>
    <xf numFmtId="0" fontId="0" fillId="6" borderId="6" xfId="0" applyFill="1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9" fillId="6" borderId="0" xfId="0" applyFont="1" applyFill="1" applyBorder="1"/>
    <xf numFmtId="0" fontId="10" fillId="6" borderId="0" xfId="0" applyFont="1" applyFill="1" applyBorder="1"/>
    <xf numFmtId="0" fontId="0" fillId="0" borderId="0" xfId="0" applyFill="1" applyBorder="1"/>
    <xf numFmtId="0" fontId="11" fillId="0" borderId="7" xfId="0" applyFont="1" applyBorder="1" applyAlignment="1">
      <alignment horizontal="center"/>
    </xf>
    <xf numFmtId="0" fontId="12" fillId="0" borderId="0" xfId="0" applyFont="1" applyBorder="1" applyAlignment="1">
      <alignment horizontal="left"/>
    </xf>
    <xf numFmtId="0" fontId="12" fillId="0" borderId="0" xfId="0" applyFont="1" applyBorder="1" applyAlignment="1">
      <alignment horizontal="center"/>
    </xf>
    <xf numFmtId="4" fontId="11" fillId="0" borderId="7" xfId="0" applyNumberFormat="1" applyFont="1" applyBorder="1"/>
    <xf numFmtId="0" fontId="0" fillId="0" borderId="9" xfId="0" applyBorder="1"/>
    <xf numFmtId="0" fontId="0" fillId="0" borderId="10" xfId="0" applyBorder="1"/>
    <xf numFmtId="0" fontId="11" fillId="0" borderId="8" xfId="0" quotePrefix="1" applyFont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12" fillId="0" borderId="0" xfId="0" quotePrefix="1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0" fillId="6" borderId="15" xfId="0" applyFill="1" applyBorder="1"/>
    <xf numFmtId="0" fontId="0" fillId="6" borderId="16" xfId="0" applyFill="1" applyBorder="1"/>
    <xf numFmtId="0" fontId="10" fillId="6" borderId="16" xfId="0" applyFont="1" applyFill="1" applyBorder="1" applyAlignment="1">
      <alignment horizontal="right"/>
    </xf>
    <xf numFmtId="0" fontId="0" fillId="6" borderId="17" xfId="0" applyFill="1" applyBorder="1"/>
    <xf numFmtId="4" fontId="4" fillId="4" borderId="1" xfId="5" applyNumberFormat="1"/>
    <xf numFmtId="0" fontId="4" fillId="4" borderId="1" xfId="5" applyAlignment="1">
      <alignment horizont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44" fontId="0" fillId="0" borderId="0" xfId="1" applyFont="1" applyAlignment="1">
      <alignment vertical="center" wrapText="1"/>
    </xf>
    <xf numFmtId="0" fontId="5" fillId="0" borderId="0" xfId="0" applyFont="1" applyAlignment="1">
      <alignment vertical="center" wrapText="1"/>
    </xf>
    <xf numFmtId="2" fontId="5" fillId="0" borderId="0" xfId="0" applyNumberFormat="1" applyFont="1" applyAlignment="1">
      <alignment vertical="center" wrapText="1"/>
    </xf>
    <xf numFmtId="44" fontId="0" fillId="0" borderId="0" xfId="0" applyNumberFormat="1" applyAlignment="1">
      <alignment vertical="center" wrapText="1"/>
    </xf>
    <xf numFmtId="10" fontId="0" fillId="0" borderId="0" xfId="0" applyNumberFormat="1" applyAlignment="1">
      <alignment vertical="center" wrapText="1"/>
    </xf>
    <xf numFmtId="10" fontId="0" fillId="0" borderId="0" xfId="2" applyNumberFormat="1" applyFont="1" applyAlignment="1">
      <alignment vertical="center" wrapText="1"/>
    </xf>
    <xf numFmtId="0" fontId="7" fillId="0" borderId="0" xfId="0" applyFont="1" applyAlignment="1">
      <alignment horizontal="center"/>
    </xf>
  </cellXfs>
  <cellStyles count="12">
    <cellStyle name="Bueno" xfId="3" builtinId="26"/>
    <cellStyle name="Cálculo" xfId="5" builtinId="22"/>
    <cellStyle name="Hipervínculo" xfId="10" builtinId="8" hidden="1"/>
    <cellStyle name="Hipervínculo" xfId="8" builtinId="8" hidden="1"/>
    <cellStyle name="Hipervínculo" xfId="6" builtinId="8" hidden="1"/>
    <cellStyle name="Hipervínculo visitado" xfId="11" builtinId="9" hidden="1"/>
    <cellStyle name="Hipervínculo visitado" xfId="9" builtinId="9" hidden="1"/>
    <cellStyle name="Hipervínculo visitado" xfId="7" builtinId="9" hidden="1"/>
    <cellStyle name="Incorrecto" xfId="4" builtinId="27"/>
    <cellStyle name="Moneda" xfId="1" builtinId="4"/>
    <cellStyle name="Normal" xfId="0" builtinId="0"/>
    <cellStyle name="Porcentaje" xfId="2" builtinId="5"/>
  </cellStyles>
  <dxfs count="10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Evolución Componentes</a:t>
            </a:r>
            <a:r>
              <a:rPr lang="en-US" baseline="0"/>
              <a:t> Margen</a:t>
            </a:r>
            <a:endParaRPr lang="en-US"/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'Du Pont'!$A$3</c:f>
              <c:strCache>
                <c:ptCount val="1"/>
                <c:pt idx="0">
                  <c:v>Margen bruto (% sobre venta)</c:v>
                </c:pt>
              </c:strCache>
            </c:strRef>
          </c:tx>
          <c:invertIfNegative val="0"/>
          <c:cat>
            <c:numRef>
              <c:f>('Du Pont'!$C$2,'Du Pont'!$E$2)</c:f>
              <c:numCache>
                <c:formatCode>General</c:formatCode>
                <c:ptCount val="2"/>
                <c:pt idx="0">
                  <c:v>2014.0</c:v>
                </c:pt>
                <c:pt idx="1">
                  <c:v>2015.0</c:v>
                </c:pt>
              </c:numCache>
            </c:numRef>
          </c:cat>
          <c:val>
            <c:numRef>
              <c:f>('Du Pont'!$C$3,'Du Pont'!$E$3)</c:f>
              <c:numCache>
                <c:formatCode>0.00%</c:formatCode>
                <c:ptCount val="2"/>
                <c:pt idx="0">
                  <c:v>0.478413741426019</c:v>
                </c:pt>
                <c:pt idx="1">
                  <c:v>0.548041258066155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7F1-8948-BC3F-51D47B6A0CFB}"/>
            </c:ext>
          </c:extLst>
        </c:ser>
        <c:ser>
          <c:idx val="1"/>
          <c:order val="1"/>
          <c:tx>
            <c:strRef>
              <c:f>'Du Pont'!$A$4</c:f>
              <c:strCache>
                <c:ptCount val="1"/>
                <c:pt idx="0">
                  <c:v>EBITDA (% sobre venta)</c:v>
                </c:pt>
              </c:strCache>
            </c:strRef>
          </c:tx>
          <c:invertIfNegative val="0"/>
          <c:cat>
            <c:numRef>
              <c:f>('Du Pont'!$C$2,'Du Pont'!$E$2)</c:f>
              <c:numCache>
                <c:formatCode>General</c:formatCode>
                <c:ptCount val="2"/>
                <c:pt idx="0">
                  <c:v>2014.0</c:v>
                </c:pt>
                <c:pt idx="1">
                  <c:v>2015.0</c:v>
                </c:pt>
              </c:numCache>
            </c:numRef>
          </c:cat>
          <c:val>
            <c:numRef>
              <c:f>('Du Pont'!$C$4,'Du Pont'!$E$4)</c:f>
              <c:numCache>
                <c:formatCode>0.00%</c:formatCode>
                <c:ptCount val="2"/>
                <c:pt idx="0">
                  <c:v>-0.0876707591215632</c:v>
                </c:pt>
                <c:pt idx="1">
                  <c:v>0.0306894974848839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E7F1-8948-BC3F-51D47B6A0CFB}"/>
            </c:ext>
          </c:extLst>
        </c:ser>
        <c:ser>
          <c:idx val="2"/>
          <c:order val="2"/>
          <c:tx>
            <c:strRef>
              <c:f>'Du Pont'!$A$5</c:f>
              <c:strCache>
                <c:ptCount val="1"/>
                <c:pt idx="0">
                  <c:v>Resultado operaciones (% sobre venta)</c:v>
                </c:pt>
              </c:strCache>
            </c:strRef>
          </c:tx>
          <c:invertIfNegative val="0"/>
          <c:cat>
            <c:numRef>
              <c:f>('Du Pont'!$C$2,'Du Pont'!$E$2)</c:f>
              <c:numCache>
                <c:formatCode>General</c:formatCode>
                <c:ptCount val="2"/>
                <c:pt idx="0">
                  <c:v>2014.0</c:v>
                </c:pt>
                <c:pt idx="1">
                  <c:v>2015.0</c:v>
                </c:pt>
              </c:numCache>
            </c:numRef>
          </c:cat>
          <c:val>
            <c:numRef>
              <c:f>('Du Pont'!$C$5,'Du Pont'!$E$5)</c:f>
              <c:numCache>
                <c:formatCode>0.00%</c:formatCode>
                <c:ptCount val="2"/>
                <c:pt idx="0">
                  <c:v>-0.14582973082022</c:v>
                </c:pt>
                <c:pt idx="1">
                  <c:v>-0.0207814643564859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E7F1-8948-BC3F-51D47B6A0C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476155008"/>
        <c:axId val="-476152960"/>
        <c:axId val="0"/>
      </c:bar3DChart>
      <c:catAx>
        <c:axId val="-476155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-476152960"/>
        <c:crosses val="autoZero"/>
        <c:auto val="1"/>
        <c:lblAlgn val="ctr"/>
        <c:lblOffset val="100"/>
        <c:noMultiLvlLbl val="0"/>
      </c:catAx>
      <c:valAx>
        <c:axId val="-476152960"/>
        <c:scaling>
          <c:orientation val="minMax"/>
        </c:scaling>
        <c:delete val="0"/>
        <c:axPos val="l"/>
        <c:majorGridlines/>
        <c:numFmt formatCode="0.00%" sourceLinked="1"/>
        <c:majorTickMark val="none"/>
        <c:minorTickMark val="none"/>
        <c:tickLblPos val="nextTo"/>
        <c:crossAx val="-47615500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209550</xdr:colOff>
      <xdr:row>0</xdr:row>
      <xdr:rowOff>209550</xdr:rowOff>
    </xdr:from>
    <xdr:to>
      <xdr:col>11</xdr:col>
      <xdr:colOff>714375</xdr:colOff>
      <xdr:row>14</xdr:row>
      <xdr:rowOff>0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493568</xdr:colOff>
      <xdr:row>9</xdr:row>
      <xdr:rowOff>95250</xdr:rowOff>
    </xdr:from>
    <xdr:to>
      <xdr:col>5</xdr:col>
      <xdr:colOff>268432</xdr:colOff>
      <xdr:row>9</xdr:row>
      <xdr:rowOff>96838</xdr:rowOff>
    </xdr:to>
    <xdr:cxnSp macro="">
      <xdr:nvCxnSpPr>
        <xdr:cNvPr id="3" name="2 Conector recto de flecha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CxnSpPr/>
      </xdr:nvCxnSpPr>
      <xdr:spPr>
        <a:xfrm>
          <a:off x="2164773" y="2017568"/>
          <a:ext cx="277091" cy="1588"/>
        </a:xfrm>
        <a:prstGeom prst="straightConnector1">
          <a:avLst/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18</xdr:row>
      <xdr:rowOff>112567</xdr:rowOff>
    </xdr:from>
    <xdr:to>
      <xdr:col>5</xdr:col>
      <xdr:colOff>277091</xdr:colOff>
      <xdr:row>18</xdr:row>
      <xdr:rowOff>114155</xdr:rowOff>
    </xdr:to>
    <xdr:cxnSp macro="">
      <xdr:nvCxnSpPr>
        <xdr:cNvPr id="4" name="3 Conector recto de flecha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CxnSpPr/>
      </xdr:nvCxnSpPr>
      <xdr:spPr>
        <a:xfrm>
          <a:off x="2173432" y="3827317"/>
          <a:ext cx="277091" cy="1588"/>
        </a:xfrm>
        <a:prstGeom prst="straightConnector1">
          <a:avLst/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14</xdr:row>
      <xdr:rowOff>103908</xdr:rowOff>
    </xdr:from>
    <xdr:to>
      <xdr:col>9</xdr:col>
      <xdr:colOff>277091</xdr:colOff>
      <xdr:row>14</xdr:row>
      <xdr:rowOff>105496</xdr:rowOff>
    </xdr:to>
    <xdr:cxnSp macro="">
      <xdr:nvCxnSpPr>
        <xdr:cNvPr id="5" name="4 Conector recto de flecha">
          <a:extLst>
            <a:ext uri="{FF2B5EF4-FFF2-40B4-BE49-F238E27FC236}">
              <a16:creationId xmlns:a16="http://schemas.microsoft.com/office/drawing/2014/main" xmlns="" id="{00000000-0008-0000-0600-000005000000}"/>
            </a:ext>
          </a:extLst>
        </xdr:cNvPr>
        <xdr:cNvCxnSpPr/>
      </xdr:nvCxnSpPr>
      <xdr:spPr>
        <a:xfrm>
          <a:off x="4225636" y="3022022"/>
          <a:ext cx="277091" cy="1588"/>
        </a:xfrm>
        <a:prstGeom prst="straightConnector1">
          <a:avLst/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29</xdr:row>
      <xdr:rowOff>103908</xdr:rowOff>
    </xdr:from>
    <xdr:to>
      <xdr:col>5</xdr:col>
      <xdr:colOff>277091</xdr:colOff>
      <xdr:row>29</xdr:row>
      <xdr:rowOff>105496</xdr:rowOff>
    </xdr:to>
    <xdr:cxnSp macro="">
      <xdr:nvCxnSpPr>
        <xdr:cNvPr id="6" name="5 Conector recto de flecha">
          <a:extLst>
            <a:ext uri="{FF2B5EF4-FFF2-40B4-BE49-F238E27FC236}">
              <a16:creationId xmlns:a16="http://schemas.microsoft.com/office/drawing/2014/main" xmlns="" id="{00000000-0008-0000-0600-000006000000}"/>
            </a:ext>
          </a:extLst>
        </xdr:cNvPr>
        <xdr:cNvCxnSpPr/>
      </xdr:nvCxnSpPr>
      <xdr:spPr>
        <a:xfrm>
          <a:off x="2173432" y="6009408"/>
          <a:ext cx="277091" cy="1588"/>
        </a:xfrm>
        <a:prstGeom prst="straightConnector1">
          <a:avLst/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41</xdr:row>
      <xdr:rowOff>103908</xdr:rowOff>
    </xdr:from>
    <xdr:to>
      <xdr:col>5</xdr:col>
      <xdr:colOff>277091</xdr:colOff>
      <xdr:row>41</xdr:row>
      <xdr:rowOff>105496</xdr:rowOff>
    </xdr:to>
    <xdr:cxnSp macro="">
      <xdr:nvCxnSpPr>
        <xdr:cNvPr id="7" name="6 Conector recto de flecha">
          <a:extLst>
            <a:ext uri="{FF2B5EF4-FFF2-40B4-BE49-F238E27FC236}">
              <a16:creationId xmlns:a16="http://schemas.microsoft.com/office/drawing/2014/main" xmlns="" id="{00000000-0008-0000-0600-000007000000}"/>
            </a:ext>
          </a:extLst>
        </xdr:cNvPr>
        <xdr:cNvCxnSpPr/>
      </xdr:nvCxnSpPr>
      <xdr:spPr>
        <a:xfrm>
          <a:off x="2173432" y="8399317"/>
          <a:ext cx="277091" cy="1588"/>
        </a:xfrm>
        <a:prstGeom prst="straightConnector1">
          <a:avLst/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35</xdr:row>
      <xdr:rowOff>112567</xdr:rowOff>
    </xdr:from>
    <xdr:to>
      <xdr:col>9</xdr:col>
      <xdr:colOff>277091</xdr:colOff>
      <xdr:row>35</xdr:row>
      <xdr:rowOff>114155</xdr:rowOff>
    </xdr:to>
    <xdr:cxnSp macro="">
      <xdr:nvCxnSpPr>
        <xdr:cNvPr id="8" name="7 Conector recto de flecha">
          <a:extLst>
            <a:ext uri="{FF2B5EF4-FFF2-40B4-BE49-F238E27FC236}">
              <a16:creationId xmlns:a16="http://schemas.microsoft.com/office/drawing/2014/main" xmlns="" id="{00000000-0008-0000-0600-000008000000}"/>
            </a:ext>
          </a:extLst>
        </xdr:cNvPr>
        <xdr:cNvCxnSpPr/>
      </xdr:nvCxnSpPr>
      <xdr:spPr>
        <a:xfrm>
          <a:off x="4225636" y="7213022"/>
          <a:ext cx="277091" cy="1588"/>
        </a:xfrm>
        <a:prstGeom prst="straightConnector1">
          <a:avLst/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19</xdr:row>
      <xdr:rowOff>103908</xdr:rowOff>
    </xdr:from>
    <xdr:to>
      <xdr:col>13</xdr:col>
      <xdr:colOff>277091</xdr:colOff>
      <xdr:row>19</xdr:row>
      <xdr:rowOff>105496</xdr:rowOff>
    </xdr:to>
    <xdr:cxnSp macro="">
      <xdr:nvCxnSpPr>
        <xdr:cNvPr id="9" name="8 Conector recto de flecha">
          <a:extLst>
            <a:ext uri="{FF2B5EF4-FFF2-40B4-BE49-F238E27FC236}">
              <a16:creationId xmlns:a16="http://schemas.microsoft.com/office/drawing/2014/main" xmlns="" id="{00000000-0008-0000-0600-000009000000}"/>
            </a:ext>
          </a:extLst>
        </xdr:cNvPr>
        <xdr:cNvCxnSpPr/>
      </xdr:nvCxnSpPr>
      <xdr:spPr>
        <a:xfrm>
          <a:off x="6277841" y="4017817"/>
          <a:ext cx="277091" cy="1588"/>
        </a:xfrm>
        <a:prstGeom prst="straightConnector1">
          <a:avLst/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21</xdr:row>
      <xdr:rowOff>95249</xdr:rowOff>
    </xdr:from>
    <xdr:to>
      <xdr:col>17</xdr:col>
      <xdr:colOff>277091</xdr:colOff>
      <xdr:row>21</xdr:row>
      <xdr:rowOff>96837</xdr:rowOff>
    </xdr:to>
    <xdr:cxnSp macro="">
      <xdr:nvCxnSpPr>
        <xdr:cNvPr id="10" name="9 Conector recto de flecha">
          <a:extLst>
            <a:ext uri="{FF2B5EF4-FFF2-40B4-BE49-F238E27FC236}">
              <a16:creationId xmlns:a16="http://schemas.microsoft.com/office/drawing/2014/main" xmlns="" id="{00000000-0008-0000-0600-00000A000000}"/>
            </a:ext>
          </a:extLst>
        </xdr:cNvPr>
        <xdr:cNvCxnSpPr/>
      </xdr:nvCxnSpPr>
      <xdr:spPr>
        <a:xfrm>
          <a:off x="8330045" y="4407476"/>
          <a:ext cx="277091" cy="1588"/>
        </a:xfrm>
        <a:prstGeom prst="straightConnector1">
          <a:avLst/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24</xdr:row>
      <xdr:rowOff>103908</xdr:rowOff>
    </xdr:from>
    <xdr:to>
      <xdr:col>21</xdr:col>
      <xdr:colOff>277091</xdr:colOff>
      <xdr:row>24</xdr:row>
      <xdr:rowOff>105496</xdr:rowOff>
    </xdr:to>
    <xdr:cxnSp macro="">
      <xdr:nvCxnSpPr>
        <xdr:cNvPr id="11" name="10 Conector recto de flecha">
          <a:extLst>
            <a:ext uri="{FF2B5EF4-FFF2-40B4-BE49-F238E27FC236}">
              <a16:creationId xmlns:a16="http://schemas.microsoft.com/office/drawing/2014/main" xmlns="" id="{00000000-0008-0000-0600-00000B000000}"/>
            </a:ext>
          </a:extLst>
        </xdr:cNvPr>
        <xdr:cNvCxnSpPr/>
      </xdr:nvCxnSpPr>
      <xdr:spPr>
        <a:xfrm>
          <a:off x="10382250" y="5013613"/>
          <a:ext cx="277091" cy="1588"/>
        </a:xfrm>
        <a:prstGeom prst="straightConnector1">
          <a:avLst/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38</xdr:row>
      <xdr:rowOff>95250</xdr:rowOff>
    </xdr:from>
    <xdr:to>
      <xdr:col>18</xdr:col>
      <xdr:colOff>0</xdr:colOff>
      <xdr:row>38</xdr:row>
      <xdr:rowOff>103908</xdr:rowOff>
    </xdr:to>
    <xdr:cxnSp macro="">
      <xdr:nvCxnSpPr>
        <xdr:cNvPr id="12" name="11 Conector recto de flecha">
          <a:extLst>
            <a:ext uri="{FF2B5EF4-FFF2-40B4-BE49-F238E27FC236}">
              <a16:creationId xmlns:a16="http://schemas.microsoft.com/office/drawing/2014/main" xmlns="" id="{00000000-0008-0000-0600-00000C000000}"/>
            </a:ext>
          </a:extLst>
        </xdr:cNvPr>
        <xdr:cNvCxnSpPr/>
      </xdr:nvCxnSpPr>
      <xdr:spPr>
        <a:xfrm flipV="1">
          <a:off x="6277841" y="7793182"/>
          <a:ext cx="2337954" cy="8658"/>
        </a:xfrm>
        <a:prstGeom prst="straightConnector1">
          <a:avLst/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53</xdr:row>
      <xdr:rowOff>95249</xdr:rowOff>
    </xdr:from>
    <xdr:to>
      <xdr:col>18</xdr:col>
      <xdr:colOff>0</xdr:colOff>
      <xdr:row>53</xdr:row>
      <xdr:rowOff>95250</xdr:rowOff>
    </xdr:to>
    <xdr:cxnSp macro="">
      <xdr:nvCxnSpPr>
        <xdr:cNvPr id="14" name="13 Conector recto de flecha">
          <a:extLst>
            <a:ext uri="{FF2B5EF4-FFF2-40B4-BE49-F238E27FC236}">
              <a16:creationId xmlns:a16="http://schemas.microsoft.com/office/drawing/2014/main" xmlns="" id="{00000000-0008-0000-0600-00000E000000}"/>
            </a:ext>
          </a:extLst>
        </xdr:cNvPr>
        <xdr:cNvCxnSpPr/>
      </xdr:nvCxnSpPr>
      <xdr:spPr>
        <a:xfrm>
          <a:off x="2173432" y="10745931"/>
          <a:ext cx="6442363" cy="1"/>
        </a:xfrm>
        <a:prstGeom prst="straightConnector1">
          <a:avLst/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502226</xdr:colOff>
      <xdr:row>9</xdr:row>
      <xdr:rowOff>103910</xdr:rowOff>
    </xdr:from>
    <xdr:to>
      <xdr:col>5</xdr:col>
      <xdr:colOff>138544</xdr:colOff>
      <xdr:row>12</xdr:row>
      <xdr:rowOff>95251</xdr:rowOff>
    </xdr:to>
    <xdr:cxnSp macro="">
      <xdr:nvCxnSpPr>
        <xdr:cNvPr id="17" name="16 Conector angular">
          <a:extLst>
            <a:ext uri="{FF2B5EF4-FFF2-40B4-BE49-F238E27FC236}">
              <a16:creationId xmlns:a16="http://schemas.microsoft.com/office/drawing/2014/main" xmlns="" id="{00000000-0008-0000-0600-000011000000}"/>
            </a:ext>
          </a:extLst>
        </xdr:cNvPr>
        <xdr:cNvCxnSpPr/>
      </xdr:nvCxnSpPr>
      <xdr:spPr>
        <a:xfrm rot="5400000" flipH="1" flipV="1">
          <a:off x="1948295" y="2251364"/>
          <a:ext cx="588818" cy="138545"/>
        </a:xfrm>
        <a:prstGeom prst="bentConnector3">
          <a:avLst>
            <a:gd name="adj1" fmla="val -1471"/>
          </a:avLst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18</xdr:row>
      <xdr:rowOff>103914</xdr:rowOff>
    </xdr:from>
    <xdr:to>
      <xdr:col>5</xdr:col>
      <xdr:colOff>138545</xdr:colOff>
      <xdr:row>21</xdr:row>
      <xdr:rowOff>95255</xdr:rowOff>
    </xdr:to>
    <xdr:cxnSp macro="">
      <xdr:nvCxnSpPr>
        <xdr:cNvPr id="19" name="18 Conector angular">
          <a:extLst>
            <a:ext uri="{FF2B5EF4-FFF2-40B4-BE49-F238E27FC236}">
              <a16:creationId xmlns:a16="http://schemas.microsoft.com/office/drawing/2014/main" xmlns="" id="{00000000-0008-0000-0600-000013000000}"/>
            </a:ext>
          </a:extLst>
        </xdr:cNvPr>
        <xdr:cNvCxnSpPr/>
      </xdr:nvCxnSpPr>
      <xdr:spPr>
        <a:xfrm rot="5400000" flipH="1" flipV="1">
          <a:off x="1948296" y="4043800"/>
          <a:ext cx="588818" cy="138545"/>
        </a:xfrm>
        <a:prstGeom prst="bentConnector3">
          <a:avLst>
            <a:gd name="adj1" fmla="val -1471"/>
          </a:avLst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29</xdr:row>
      <xdr:rowOff>112573</xdr:rowOff>
    </xdr:from>
    <xdr:to>
      <xdr:col>5</xdr:col>
      <xdr:colOff>138545</xdr:colOff>
      <xdr:row>32</xdr:row>
      <xdr:rowOff>103914</xdr:rowOff>
    </xdr:to>
    <xdr:cxnSp macro="">
      <xdr:nvCxnSpPr>
        <xdr:cNvPr id="20" name="19 Conector angular">
          <a:extLst>
            <a:ext uri="{FF2B5EF4-FFF2-40B4-BE49-F238E27FC236}">
              <a16:creationId xmlns:a16="http://schemas.microsoft.com/office/drawing/2014/main" xmlns="" id="{00000000-0008-0000-0600-000014000000}"/>
            </a:ext>
          </a:extLst>
        </xdr:cNvPr>
        <xdr:cNvCxnSpPr/>
      </xdr:nvCxnSpPr>
      <xdr:spPr>
        <a:xfrm rot="5400000" flipH="1" flipV="1">
          <a:off x="1948296" y="6243209"/>
          <a:ext cx="588818" cy="138545"/>
        </a:xfrm>
        <a:prstGeom prst="bentConnector3">
          <a:avLst>
            <a:gd name="adj1" fmla="val -1471"/>
          </a:avLst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32</xdr:row>
      <xdr:rowOff>95256</xdr:rowOff>
    </xdr:from>
    <xdr:to>
      <xdr:col>5</xdr:col>
      <xdr:colOff>138545</xdr:colOff>
      <xdr:row>35</xdr:row>
      <xdr:rowOff>86596</xdr:rowOff>
    </xdr:to>
    <xdr:cxnSp macro="">
      <xdr:nvCxnSpPr>
        <xdr:cNvPr id="21" name="20 Conector angular">
          <a:extLst>
            <a:ext uri="{FF2B5EF4-FFF2-40B4-BE49-F238E27FC236}">
              <a16:creationId xmlns:a16="http://schemas.microsoft.com/office/drawing/2014/main" xmlns="" id="{00000000-0008-0000-0600-000015000000}"/>
            </a:ext>
          </a:extLst>
        </xdr:cNvPr>
        <xdr:cNvCxnSpPr/>
      </xdr:nvCxnSpPr>
      <xdr:spPr>
        <a:xfrm rot="5400000" flipH="1" flipV="1">
          <a:off x="1948296" y="6823369"/>
          <a:ext cx="588818" cy="138545"/>
        </a:xfrm>
        <a:prstGeom prst="bentConnector3">
          <a:avLst>
            <a:gd name="adj1" fmla="val -1471"/>
          </a:avLst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41</xdr:row>
      <xdr:rowOff>112573</xdr:rowOff>
    </xdr:from>
    <xdr:to>
      <xdr:col>5</xdr:col>
      <xdr:colOff>138545</xdr:colOff>
      <xdr:row>44</xdr:row>
      <xdr:rowOff>103914</xdr:rowOff>
    </xdr:to>
    <xdr:cxnSp macro="">
      <xdr:nvCxnSpPr>
        <xdr:cNvPr id="22" name="21 Conector angular">
          <a:extLst>
            <a:ext uri="{FF2B5EF4-FFF2-40B4-BE49-F238E27FC236}">
              <a16:creationId xmlns:a16="http://schemas.microsoft.com/office/drawing/2014/main" xmlns="" id="{00000000-0008-0000-0600-000016000000}"/>
            </a:ext>
          </a:extLst>
        </xdr:cNvPr>
        <xdr:cNvCxnSpPr/>
      </xdr:nvCxnSpPr>
      <xdr:spPr>
        <a:xfrm rot="5400000" flipH="1" flipV="1">
          <a:off x="1948296" y="8633118"/>
          <a:ext cx="588818" cy="138545"/>
        </a:xfrm>
        <a:prstGeom prst="bentConnector3">
          <a:avLst>
            <a:gd name="adj1" fmla="val -1471"/>
          </a:avLst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502226</xdr:colOff>
      <xdr:row>24</xdr:row>
      <xdr:rowOff>112569</xdr:rowOff>
    </xdr:from>
    <xdr:to>
      <xdr:col>21</xdr:col>
      <xdr:colOff>129888</xdr:colOff>
      <xdr:row>32</xdr:row>
      <xdr:rowOff>103915</xdr:rowOff>
    </xdr:to>
    <xdr:cxnSp macro="">
      <xdr:nvCxnSpPr>
        <xdr:cNvPr id="23" name="22 Conector angular">
          <a:extLst>
            <a:ext uri="{FF2B5EF4-FFF2-40B4-BE49-F238E27FC236}">
              <a16:creationId xmlns:a16="http://schemas.microsoft.com/office/drawing/2014/main" xmlns="" id="{00000000-0008-0000-0600-000017000000}"/>
            </a:ext>
          </a:extLst>
        </xdr:cNvPr>
        <xdr:cNvCxnSpPr/>
      </xdr:nvCxnSpPr>
      <xdr:spPr>
        <a:xfrm rot="5400000" flipH="1" flipV="1">
          <a:off x="9654885" y="5749638"/>
          <a:ext cx="1584618" cy="129889"/>
        </a:xfrm>
        <a:prstGeom prst="bentConnector3">
          <a:avLst>
            <a:gd name="adj1" fmla="val 273"/>
          </a:avLst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32</xdr:row>
      <xdr:rowOff>95251</xdr:rowOff>
    </xdr:from>
    <xdr:to>
      <xdr:col>21</xdr:col>
      <xdr:colOff>129889</xdr:colOff>
      <xdr:row>45</xdr:row>
      <xdr:rowOff>103930</xdr:rowOff>
    </xdr:to>
    <xdr:cxnSp macro="">
      <xdr:nvCxnSpPr>
        <xdr:cNvPr id="26" name="25 Conector angular">
          <a:extLst>
            <a:ext uri="{FF2B5EF4-FFF2-40B4-BE49-F238E27FC236}">
              <a16:creationId xmlns:a16="http://schemas.microsoft.com/office/drawing/2014/main" xmlns="" id="{00000000-0008-0000-0600-00001A000000}"/>
            </a:ext>
          </a:extLst>
        </xdr:cNvPr>
        <xdr:cNvCxnSpPr/>
      </xdr:nvCxnSpPr>
      <xdr:spPr>
        <a:xfrm rot="5400000" flipH="1" flipV="1">
          <a:off x="9148321" y="7832157"/>
          <a:ext cx="2597747" cy="129889"/>
        </a:xfrm>
        <a:prstGeom prst="bentConnector3">
          <a:avLst>
            <a:gd name="adj1" fmla="val 0"/>
          </a:avLst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16</xdr:row>
      <xdr:rowOff>103908</xdr:rowOff>
    </xdr:from>
    <xdr:to>
      <xdr:col>13</xdr:col>
      <xdr:colOff>103909</xdr:colOff>
      <xdr:row>19</xdr:row>
      <xdr:rowOff>103908</xdr:rowOff>
    </xdr:to>
    <xdr:cxnSp macro="">
      <xdr:nvCxnSpPr>
        <xdr:cNvPr id="30" name="29 Conector angular">
          <a:extLst>
            <a:ext uri="{FF2B5EF4-FFF2-40B4-BE49-F238E27FC236}">
              <a16:creationId xmlns:a16="http://schemas.microsoft.com/office/drawing/2014/main" xmlns="" id="{00000000-0008-0000-0600-00001E000000}"/>
            </a:ext>
          </a:extLst>
        </xdr:cNvPr>
        <xdr:cNvCxnSpPr/>
      </xdr:nvCxnSpPr>
      <xdr:spPr>
        <a:xfrm rot="16200000" flipH="1">
          <a:off x="6031057" y="3667124"/>
          <a:ext cx="597477" cy="103909"/>
        </a:xfrm>
        <a:prstGeom prst="bentConnector3">
          <a:avLst>
            <a:gd name="adj1" fmla="val 725"/>
          </a:avLst>
        </a:prstGeom>
        <a:ln>
          <a:solidFill>
            <a:schemeClr val="tx1"/>
          </a:solidFill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zoomScale="120" zoomScaleNormal="120" zoomScalePageLayoutView="120" workbookViewId="0">
      <selection activeCell="E58" sqref="E58"/>
    </sheetView>
  </sheetViews>
  <sheetFormatPr baseColWidth="10" defaultColWidth="11.5" defaultRowHeight="15" x14ac:dyDescent="0.2"/>
  <cols>
    <col min="1" max="1" width="62.83203125" customWidth="1"/>
    <col min="2" max="2" width="1.6640625" customWidth="1"/>
    <col min="3" max="3" width="18.5" style="4" customWidth="1"/>
    <col min="4" max="4" width="1.6640625" customWidth="1"/>
    <col min="5" max="5" width="18.5" style="4" customWidth="1"/>
  </cols>
  <sheetData>
    <row r="1" spans="1:5" ht="19" x14ac:dyDescent="0.25">
      <c r="A1" s="53" t="s">
        <v>123</v>
      </c>
      <c r="B1" s="53"/>
      <c r="C1" s="53"/>
      <c r="D1" s="53"/>
      <c r="E1" s="53"/>
    </row>
    <row r="3" spans="1:5" ht="16" x14ac:dyDescent="0.2">
      <c r="A3" s="1" t="s">
        <v>19</v>
      </c>
      <c r="B3" s="1"/>
      <c r="C3" s="5">
        <v>2014</v>
      </c>
      <c r="D3" s="1"/>
      <c r="E3" s="5">
        <v>2015</v>
      </c>
    </row>
    <row r="4" spans="1:5" x14ac:dyDescent="0.2">
      <c r="A4" t="s">
        <v>1</v>
      </c>
      <c r="C4" s="2">
        <v>2221</v>
      </c>
      <c r="E4" s="2">
        <v>2214</v>
      </c>
    </row>
    <row r="5" spans="1:5" x14ac:dyDescent="0.2">
      <c r="A5" t="s">
        <v>2</v>
      </c>
      <c r="C5" s="2">
        <v>14956</v>
      </c>
      <c r="E5" s="2">
        <v>14677</v>
      </c>
    </row>
    <row r="6" spans="1:5" x14ac:dyDescent="0.2">
      <c r="A6" t="s">
        <v>120</v>
      </c>
      <c r="C6" s="2">
        <v>1820</v>
      </c>
      <c r="E6" s="2">
        <v>2656</v>
      </c>
    </row>
    <row r="7" spans="1:5" x14ac:dyDescent="0.2">
      <c r="A7" t="s">
        <v>3</v>
      </c>
      <c r="C7" s="2">
        <v>0</v>
      </c>
      <c r="E7" s="2">
        <v>0</v>
      </c>
    </row>
    <row r="8" spans="1:5" x14ac:dyDescent="0.2">
      <c r="A8" t="s">
        <v>4</v>
      </c>
      <c r="C8" s="3">
        <f>SUM(C4:C7)</f>
        <v>18997</v>
      </c>
      <c r="E8" s="3">
        <f>SUM(E4:E7)</f>
        <v>19547</v>
      </c>
    </row>
    <row r="10" spans="1:5" x14ac:dyDescent="0.2">
      <c r="A10" t="s">
        <v>5</v>
      </c>
      <c r="C10" s="2">
        <v>1187</v>
      </c>
      <c r="E10" s="2">
        <v>1210</v>
      </c>
    </row>
    <row r="11" spans="1:5" x14ac:dyDescent="0.2">
      <c r="A11" t="s">
        <v>6</v>
      </c>
      <c r="C11" s="2">
        <v>8149</v>
      </c>
      <c r="E11" s="2">
        <v>12905</v>
      </c>
    </row>
    <row r="12" spans="1:5" x14ac:dyDescent="0.2">
      <c r="A12" t="s">
        <v>7</v>
      </c>
      <c r="C12" s="2">
        <v>0</v>
      </c>
      <c r="E12" s="2">
        <v>0</v>
      </c>
    </row>
    <row r="13" spans="1:5" x14ac:dyDescent="0.2">
      <c r="A13" t="s">
        <v>8</v>
      </c>
      <c r="C13" s="2">
        <v>65</v>
      </c>
      <c r="E13" s="2">
        <v>15</v>
      </c>
    </row>
    <row r="14" spans="1:5" x14ac:dyDescent="0.2">
      <c r="A14" t="s">
        <v>9</v>
      </c>
      <c r="C14" s="3">
        <f>SUM(C10:C13)</f>
        <v>9401</v>
      </c>
      <c r="E14" s="3">
        <f>SUM(E10:E13)</f>
        <v>14130</v>
      </c>
    </row>
    <row r="16" spans="1:5" x14ac:dyDescent="0.2">
      <c r="A16" t="s">
        <v>10</v>
      </c>
      <c r="C16" s="3">
        <f>C8+C14</f>
        <v>28398</v>
      </c>
      <c r="E16" s="3">
        <f>E8+E14</f>
        <v>33677</v>
      </c>
    </row>
    <row r="18" spans="1:5" x14ac:dyDescent="0.2">
      <c r="A18" t="s">
        <v>11</v>
      </c>
      <c r="C18" s="2">
        <v>1089</v>
      </c>
      <c r="E18" s="2">
        <v>1851</v>
      </c>
    </row>
    <row r="19" spans="1:5" x14ac:dyDescent="0.2">
      <c r="A19" t="s">
        <v>121</v>
      </c>
      <c r="C19" s="2">
        <v>598</v>
      </c>
      <c r="E19" s="2">
        <v>614</v>
      </c>
    </row>
    <row r="20" spans="1:5" x14ac:dyDescent="0.2">
      <c r="A20" t="s">
        <v>12</v>
      </c>
      <c r="C20" s="2">
        <v>13380</v>
      </c>
      <c r="E20" s="2">
        <v>15418</v>
      </c>
    </row>
    <row r="21" spans="1:5" x14ac:dyDescent="0.2">
      <c r="A21" t="s">
        <v>13</v>
      </c>
      <c r="C21" s="3">
        <f>SUM(C18:C20)</f>
        <v>15067</v>
      </c>
      <c r="E21" s="3">
        <f>SUM(E18:E20)</f>
        <v>17883</v>
      </c>
    </row>
    <row r="23" spans="1:5" x14ac:dyDescent="0.2">
      <c r="A23" t="s">
        <v>14</v>
      </c>
      <c r="C23" s="2">
        <v>4635</v>
      </c>
      <c r="E23" s="2">
        <v>6321</v>
      </c>
    </row>
    <row r="24" spans="1:5" x14ac:dyDescent="0.2">
      <c r="A24" t="s">
        <v>15</v>
      </c>
      <c r="C24" s="2">
        <v>2847</v>
      </c>
      <c r="E24" s="2">
        <v>3046</v>
      </c>
    </row>
    <row r="25" spans="1:5" x14ac:dyDescent="0.2">
      <c r="A25" t="s">
        <v>16</v>
      </c>
      <c r="C25" s="2">
        <v>5849</v>
      </c>
      <c r="E25" s="2">
        <v>6427</v>
      </c>
    </row>
    <row r="26" spans="1:5" x14ac:dyDescent="0.2">
      <c r="A26" t="s">
        <v>17</v>
      </c>
      <c r="C26" s="3">
        <f>SUM(C23:C25)</f>
        <v>13331</v>
      </c>
      <c r="E26" s="3">
        <f>SUM(E23:E25)</f>
        <v>15794</v>
      </c>
    </row>
    <row r="28" spans="1:5" x14ac:dyDescent="0.2">
      <c r="A28" t="s">
        <v>18</v>
      </c>
      <c r="C28" s="3">
        <f>C21+C26</f>
        <v>28398</v>
      </c>
      <c r="E28" s="3">
        <f>E21+E26</f>
        <v>33677</v>
      </c>
    </row>
    <row r="30" spans="1:5" ht="16" x14ac:dyDescent="0.2">
      <c r="A30" s="1" t="s">
        <v>20</v>
      </c>
      <c r="B30" s="1"/>
      <c r="C30" s="5">
        <f>C3</f>
        <v>2014</v>
      </c>
      <c r="D30" s="1"/>
      <c r="E30" s="5">
        <f>E3</f>
        <v>2015</v>
      </c>
    </row>
    <row r="31" spans="1:5" x14ac:dyDescent="0.2">
      <c r="A31" t="s">
        <v>21</v>
      </c>
      <c r="C31" s="2">
        <v>17349</v>
      </c>
      <c r="E31" s="2">
        <v>19681</v>
      </c>
    </row>
    <row r="33" spans="1:5" x14ac:dyDescent="0.2">
      <c r="A33" t="s">
        <v>22</v>
      </c>
      <c r="C33" s="2">
        <v>9049</v>
      </c>
      <c r="E33" s="2">
        <v>8895</v>
      </c>
    </row>
    <row r="34" spans="1:5" x14ac:dyDescent="0.2">
      <c r="A34" t="s">
        <v>28</v>
      </c>
      <c r="C34" s="2">
        <v>0</v>
      </c>
      <c r="E34" s="2">
        <v>0</v>
      </c>
    </row>
    <row r="35" spans="1:5" x14ac:dyDescent="0.2">
      <c r="A35" t="s">
        <v>29</v>
      </c>
      <c r="C35" s="3">
        <f>SUM(C33:C34)</f>
        <v>9049</v>
      </c>
      <c r="E35" s="3">
        <f>SUM(E33:E34)</f>
        <v>8895</v>
      </c>
    </row>
    <row r="37" spans="1:5" x14ac:dyDescent="0.2">
      <c r="A37" t="s">
        <v>23</v>
      </c>
      <c r="C37" s="3">
        <f>C31-C35</f>
        <v>8300</v>
      </c>
      <c r="E37" s="3">
        <f>E31-E35</f>
        <v>10786</v>
      </c>
    </row>
    <row r="39" spans="1:5" x14ac:dyDescent="0.2">
      <c r="A39" t="s">
        <v>24</v>
      </c>
      <c r="C39" s="2">
        <v>6247</v>
      </c>
      <c r="E39" s="2">
        <v>6151</v>
      </c>
    </row>
    <row r="40" spans="1:5" x14ac:dyDescent="0.2">
      <c r="A40" t="s">
        <v>26</v>
      </c>
      <c r="C40" s="2">
        <v>3574</v>
      </c>
      <c r="E40" s="2">
        <v>4031</v>
      </c>
    </row>
    <row r="41" spans="1:5" x14ac:dyDescent="0.2">
      <c r="A41" t="s">
        <v>27</v>
      </c>
      <c r="C41" s="3">
        <f>SUM(C39:C40)</f>
        <v>9821</v>
      </c>
      <c r="E41" s="3">
        <f>SUM(E39:E40)</f>
        <v>10182</v>
      </c>
    </row>
    <row r="43" spans="1:5" x14ac:dyDescent="0.2">
      <c r="A43" t="s">
        <v>39</v>
      </c>
      <c r="C43" s="3">
        <f>C37-C41</f>
        <v>-1521</v>
      </c>
      <c r="E43" s="3">
        <f>E37-E41</f>
        <v>604</v>
      </c>
    </row>
    <row r="44" spans="1:5" x14ac:dyDescent="0.2">
      <c r="A44" t="s">
        <v>25</v>
      </c>
      <c r="C44" s="2">
        <v>1009</v>
      </c>
      <c r="E44" s="2">
        <v>1013</v>
      </c>
    </row>
    <row r="45" spans="1:5" x14ac:dyDescent="0.2">
      <c r="A45" t="s">
        <v>122</v>
      </c>
      <c r="C45" s="3">
        <f>C43-C44</f>
        <v>-2530</v>
      </c>
      <c r="E45" s="3">
        <f>E43-E44</f>
        <v>-409</v>
      </c>
    </row>
    <row r="47" spans="1:5" x14ac:dyDescent="0.2">
      <c r="A47" t="s">
        <v>30</v>
      </c>
      <c r="C47" s="2">
        <v>2</v>
      </c>
      <c r="E47" s="2">
        <v>38</v>
      </c>
    </row>
    <row r="48" spans="1:5" x14ac:dyDescent="0.2">
      <c r="A48" t="s">
        <v>31</v>
      </c>
      <c r="C48" s="2">
        <v>1462</v>
      </c>
      <c r="E48" s="2">
        <v>1428</v>
      </c>
    </row>
    <row r="49" spans="1:5" x14ac:dyDescent="0.2">
      <c r="A49" t="s">
        <v>32</v>
      </c>
      <c r="C49" s="3">
        <f>C47-C48</f>
        <v>-1460</v>
      </c>
      <c r="E49" s="3">
        <f>E47-E48</f>
        <v>-1390</v>
      </c>
    </row>
    <row r="51" spans="1:5" x14ac:dyDescent="0.2">
      <c r="A51" t="s">
        <v>33</v>
      </c>
      <c r="C51" s="2">
        <v>0</v>
      </c>
      <c r="E51" s="2">
        <v>0</v>
      </c>
    </row>
    <row r="52" spans="1:5" x14ac:dyDescent="0.2">
      <c r="A52" t="s">
        <v>34</v>
      </c>
      <c r="C52" s="2">
        <v>0</v>
      </c>
      <c r="E52" s="2">
        <v>0</v>
      </c>
    </row>
    <row r="53" spans="1:5" x14ac:dyDescent="0.2">
      <c r="A53" t="s">
        <v>35</v>
      </c>
      <c r="C53" s="3">
        <f>C51-C52</f>
        <v>0</v>
      </c>
      <c r="E53" s="3">
        <f>E51-E52</f>
        <v>0</v>
      </c>
    </row>
    <row r="55" spans="1:5" x14ac:dyDescent="0.2">
      <c r="A55" t="s">
        <v>37</v>
      </c>
      <c r="C55" s="3">
        <f>C45+C49+C53</f>
        <v>-3990</v>
      </c>
      <c r="E55" s="3">
        <f>E45+E49+E53</f>
        <v>-1799</v>
      </c>
    </row>
    <row r="57" spans="1:5" x14ac:dyDescent="0.2">
      <c r="A57" t="s">
        <v>38</v>
      </c>
      <c r="C57" s="2">
        <v>-33</v>
      </c>
      <c r="E57" s="2">
        <v>-811</v>
      </c>
    </row>
    <row r="59" spans="1:5" x14ac:dyDescent="0.2">
      <c r="A59" t="s">
        <v>36</v>
      </c>
      <c r="C59" s="3">
        <f>C55-C57</f>
        <v>-3957</v>
      </c>
      <c r="E59" s="3">
        <f>E55-E57</f>
        <v>-988</v>
      </c>
    </row>
  </sheetData>
  <mergeCells count="1">
    <mergeCell ref="A1:E1"/>
  </mergeCells>
  <pageMargins left="0.7" right="0.7" top="0.75" bottom="0.75" header="0.3" footer="0.3"/>
  <pageSetup paperSize="9" scale="125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workbookViewId="0">
      <selection sqref="A1:F24"/>
    </sheetView>
  </sheetViews>
  <sheetFormatPr baseColWidth="10" defaultColWidth="11.5" defaultRowHeight="15" x14ac:dyDescent="0.2"/>
  <cols>
    <col min="1" max="1" width="46.5" customWidth="1"/>
    <col min="2" max="2" width="2.33203125" customWidth="1"/>
    <col min="3" max="3" width="19.83203125" customWidth="1"/>
    <col min="4" max="4" width="2.33203125" customWidth="1"/>
    <col min="5" max="5" width="19.83203125" customWidth="1"/>
    <col min="6" max="6" width="18.1640625" customWidth="1"/>
  </cols>
  <sheetData>
    <row r="1" spans="1:6" ht="19" x14ac:dyDescent="0.25">
      <c r="A1" s="53" t="s">
        <v>40</v>
      </c>
      <c r="B1" s="53"/>
      <c r="C1" s="53"/>
      <c r="D1" s="53"/>
      <c r="E1" s="53"/>
      <c r="F1" s="53"/>
    </row>
    <row r="3" spans="1:6" s="1" customFormat="1" ht="16" x14ac:dyDescent="0.2">
      <c r="A3" s="1" t="s">
        <v>0</v>
      </c>
      <c r="C3" s="1" t="s">
        <v>41</v>
      </c>
      <c r="E3" s="1" t="s">
        <v>42</v>
      </c>
    </row>
    <row r="4" spans="1:6" x14ac:dyDescent="0.2">
      <c r="A4" t="str">
        <f>Datos!A4</f>
        <v>Inmovilizaciones inmateriales</v>
      </c>
      <c r="C4" s="4">
        <f>IF(Datos!$E$4-Datos!$C$4&gt;0,0,-(Datos!$E$4-Datos!$C$4))</f>
        <v>7</v>
      </c>
      <c r="D4" s="4"/>
      <c r="E4" s="4">
        <f>IF(Datos!$E$4-Datos!$C$4&lt;0,0,Datos!$E$4-Datos!$C$4)</f>
        <v>0</v>
      </c>
    </row>
    <row r="5" spans="1:6" x14ac:dyDescent="0.2">
      <c r="A5" t="str">
        <f>Datos!A5</f>
        <v>Inmovilizaciones materiales</v>
      </c>
      <c r="C5" s="4">
        <f>IF(Datos!$E$5-Datos!$C$5&gt;0,0,-(Datos!$E$5-Datos!$C$5))</f>
        <v>279</v>
      </c>
      <c r="D5" s="4"/>
      <c r="E5" s="4">
        <f>IF(Datos!$E$5-Datos!$C$5&lt;0,0,Datos!$E$5-Datos!$C$5)</f>
        <v>0</v>
      </c>
    </row>
    <row r="6" spans="1:6" x14ac:dyDescent="0.2">
      <c r="A6" t="str">
        <f>Datos!A6</f>
        <v>Otros activos fijos</v>
      </c>
      <c r="C6" s="4">
        <f>IF(Datos!$E$6-Datos!$C$6&gt;0,0,-(Datos!$E$6-Datos!$C$6))</f>
        <v>0</v>
      </c>
      <c r="D6" s="4"/>
      <c r="E6" s="4">
        <f>IF(Datos!$E$6-Datos!$C$6&lt;0,0,(Datos!$E$6-Datos!$C$6))</f>
        <v>836</v>
      </c>
    </row>
    <row r="7" spans="1:6" x14ac:dyDescent="0.2">
      <c r="A7" t="str">
        <f>Datos!A7</f>
        <v>Gastos a distribuir en varios ejercicios</v>
      </c>
      <c r="C7" s="4">
        <f>IF(Datos!$E$7-Datos!$C$7&gt;0,0,-(Datos!$E$7-Datos!$C$7))</f>
        <v>0</v>
      </c>
      <c r="D7" s="4"/>
      <c r="E7" s="4">
        <f>IF(Datos!$E$7-Datos!$C$7&gt;0,(Datos!$E$7-Datos!$C$7),0)</f>
        <v>0</v>
      </c>
    </row>
    <row r="8" spans="1:6" x14ac:dyDescent="0.2">
      <c r="A8" t="str">
        <f>Datos!A18</f>
        <v>Fondos Propios</v>
      </c>
      <c r="C8" s="4">
        <f>IF(Datos!$E$18-Datos!$C$18&gt;0,(Datos!$E$18-Datos!$C$18),0)</f>
        <v>762</v>
      </c>
      <c r="D8" s="4"/>
      <c r="E8" s="4">
        <f>IF(Datos!$E$18-Datos!$C$18&lt;0,-(Datos!$E$18-Datos!$C$18),0)</f>
        <v>0</v>
      </c>
    </row>
    <row r="9" spans="1:6" x14ac:dyDescent="0.2">
      <c r="A9" t="str">
        <f>Datos!A19</f>
        <v>Otros pasivos fijos</v>
      </c>
      <c r="C9" s="4">
        <f>IF(Datos!$E$19-Datos!$C$19&gt;0,(Datos!$E$19-Datos!$C$19),0)</f>
        <v>16</v>
      </c>
      <c r="D9" s="4"/>
      <c r="E9" s="4">
        <f>IF(Datos!$E$19-Datos!$C$19&lt;0,-(Datos!$E$19-Datos!$C$19),0)</f>
        <v>0</v>
      </c>
    </row>
    <row r="10" spans="1:6" x14ac:dyDescent="0.2">
      <c r="A10" t="str">
        <f>Datos!A20</f>
        <v>Acreedores a Largo Plazo</v>
      </c>
      <c r="C10" s="4">
        <f>IF(Datos!$E$20-Datos!$C$20&gt;0,(Datos!$E$20-Datos!$C$20),0)</f>
        <v>2038</v>
      </c>
      <c r="D10" s="4"/>
      <c r="E10" s="4">
        <f>IF(Datos!$E$20-Datos!$C$20&lt;0,-(Datos!$E$20-Datos!$C$20),0)</f>
        <v>0</v>
      </c>
    </row>
    <row r="11" spans="1:6" x14ac:dyDescent="0.2">
      <c r="A11" t="s">
        <v>45</v>
      </c>
      <c r="C11" s="4">
        <f>SUM(C4:C10)</f>
        <v>3102</v>
      </c>
      <c r="D11" s="4"/>
      <c r="E11" s="4">
        <f>SUM(E4:E10)</f>
        <v>836</v>
      </c>
      <c r="F11" s="4">
        <f>C11-E11</f>
        <v>2266</v>
      </c>
    </row>
    <row r="12" spans="1:6" x14ac:dyDescent="0.2">
      <c r="C12" s="4"/>
      <c r="D12" s="4"/>
      <c r="E12" s="4"/>
    </row>
    <row r="13" spans="1:6" x14ac:dyDescent="0.2">
      <c r="A13" t="str">
        <f>Datos!A10</f>
        <v>Existencias</v>
      </c>
      <c r="C13" s="4">
        <f>IF(Datos!$E$10-Datos!$C$10&gt;0,0,-(Datos!$E$10-Datos!$C$10))</f>
        <v>0</v>
      </c>
      <c r="D13" s="4"/>
      <c r="E13" s="4">
        <f>IF(Datos!$E$10-Datos!$C$10&lt;0,0,(Datos!$E$10-Datos!$C$10))</f>
        <v>23</v>
      </c>
    </row>
    <row r="14" spans="1:6" x14ac:dyDescent="0.2">
      <c r="A14" t="str">
        <f>Datos!A11</f>
        <v>Deudores</v>
      </c>
      <c r="C14" s="4">
        <f>IF(Datos!$E$11-Datos!$C$11&gt;0,0,-(Datos!$E$11-Datos!$C$11))</f>
        <v>0</v>
      </c>
      <c r="D14" s="4"/>
      <c r="E14" s="4">
        <f>IF(Datos!$E$11-Datos!$C$11&lt;0,0,(Datos!$E$11-Datos!$C$11))</f>
        <v>4756</v>
      </c>
    </row>
    <row r="15" spans="1:6" x14ac:dyDescent="0.2">
      <c r="A15" t="str">
        <f>Datos!A12</f>
        <v>Inversiones financieras temporales</v>
      </c>
      <c r="C15" s="4">
        <f>IF(Datos!$E$12-Datos!$C$12&gt;0,0,-(Datos!$E$12-Datos!$C$12))</f>
        <v>0</v>
      </c>
      <c r="D15" s="4"/>
      <c r="E15" s="4">
        <f>IF(Datos!$E$12-Datos!$C$12&lt;0,0,(Datos!$E$12-Datos!$C$12))</f>
        <v>0</v>
      </c>
    </row>
    <row r="16" spans="1:6" x14ac:dyDescent="0.2">
      <c r="A16" t="str">
        <f>Datos!A13</f>
        <v>Tesorería</v>
      </c>
      <c r="C16" s="11">
        <f>IF(Datos!$E$13-Datos!$C$13&gt;0,0,-(Datos!$E$13-Datos!$C$13))</f>
        <v>50</v>
      </c>
      <c r="D16" s="4"/>
      <c r="E16" s="2">
        <f>IF(Datos!$E$13-Datos!$C$13&lt;0,0,(Datos!$E$13-Datos!$C$13))</f>
        <v>0</v>
      </c>
    </row>
    <row r="17" spans="1:6" x14ac:dyDescent="0.2">
      <c r="A17" t="str">
        <f>Datos!A23</f>
        <v>Proveedores</v>
      </c>
      <c r="C17" s="4">
        <f>IF(Datos!$E$23-Datos!$C$23&gt;0,(Datos!$E$23-Datos!$C$23),0)</f>
        <v>1686</v>
      </c>
      <c r="D17" s="4"/>
      <c r="E17" s="4">
        <f>IF(Datos!$E$23-Datos!$C$23&lt;0,-(Datos!$E$23-Datos!$C$23),0)</f>
        <v>0</v>
      </c>
    </row>
    <row r="18" spans="1:6" x14ac:dyDescent="0.2">
      <c r="A18" t="str">
        <f>Datos!A24</f>
        <v>Bancos y otros proveedores financieros a corto plazo</v>
      </c>
      <c r="C18" s="4">
        <f>IF(Datos!$E$24-Datos!$C$24&gt;0,(Datos!$E$24-Datos!$C$24),0)</f>
        <v>199</v>
      </c>
      <c r="D18" s="4"/>
      <c r="E18" s="4">
        <f>IF(Datos!$E$24-Datos!$C$24&lt;0,-(Datos!$E$24-Datos!$C$24),0)</f>
        <v>0</v>
      </c>
    </row>
    <row r="19" spans="1:6" x14ac:dyDescent="0.2">
      <c r="A19" t="str">
        <f>Datos!A25</f>
        <v>Otros acreedores</v>
      </c>
      <c r="C19" s="4">
        <f>IF(Datos!$E$25-Datos!$C$25&gt;0,(Datos!$E$25-Datos!$C$25),0)</f>
        <v>578</v>
      </c>
      <c r="D19" s="4"/>
      <c r="E19" s="4">
        <f>IF(Datos!$E$25-Datos!$C$25&lt;0,-(Datos!$E$25-Datos!$C$25),0)</f>
        <v>0</v>
      </c>
    </row>
    <row r="20" spans="1:6" x14ac:dyDescent="0.2">
      <c r="A20" t="s">
        <v>44</v>
      </c>
      <c r="C20" s="4">
        <f>SUM(C13:C19)</f>
        <v>2513</v>
      </c>
      <c r="D20" s="4"/>
      <c r="E20" s="4">
        <f>SUM(E13:E19)</f>
        <v>4779</v>
      </c>
      <c r="F20" s="4">
        <f>C20-E20</f>
        <v>-2266</v>
      </c>
    </row>
    <row r="22" spans="1:6" ht="16" x14ac:dyDescent="0.2">
      <c r="C22" s="1">
        <f>Datos!C3</f>
        <v>2014</v>
      </c>
      <c r="D22" s="6"/>
      <c r="E22" s="1">
        <f>Datos!E3</f>
        <v>2015</v>
      </c>
      <c r="F22" s="1" t="s">
        <v>46</v>
      </c>
    </row>
    <row r="23" spans="1:6" x14ac:dyDescent="0.2">
      <c r="A23" t="s">
        <v>43</v>
      </c>
      <c r="C23" s="7">
        <f>Datos!C21-Datos!C8</f>
        <v>-3930</v>
      </c>
      <c r="D23" s="7"/>
      <c r="E23" s="7">
        <f>Datos!E21-Datos!E8</f>
        <v>-1664</v>
      </c>
      <c r="F23" s="8">
        <f>E23-C23</f>
        <v>2266</v>
      </c>
    </row>
    <row r="24" spans="1:6" x14ac:dyDescent="0.2">
      <c r="A24" t="s">
        <v>119</v>
      </c>
      <c r="C24" s="7">
        <f>Datos!C21-Datos!C8</f>
        <v>-3930</v>
      </c>
      <c r="E24" s="7">
        <f>Datos!E21-Datos!E8</f>
        <v>-1664</v>
      </c>
    </row>
  </sheetData>
  <mergeCells count="1">
    <mergeCell ref="A1:F1"/>
  </mergeCells>
  <pageMargins left="0.7" right="0.7" top="0.75" bottom="0.75" header="0.3" footer="0.3"/>
  <pageSetup paperSize="9"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sqref="A1:E8"/>
    </sheetView>
  </sheetViews>
  <sheetFormatPr baseColWidth="10" defaultColWidth="11.5" defaultRowHeight="15" x14ac:dyDescent="0.2"/>
  <cols>
    <col min="1" max="1" width="43" customWidth="1"/>
    <col min="2" max="2" width="3.33203125" customWidth="1"/>
    <col min="3" max="3" width="13.6640625" customWidth="1"/>
    <col min="4" max="4" width="3.33203125" customWidth="1"/>
    <col min="5" max="5" width="16" customWidth="1"/>
  </cols>
  <sheetData>
    <row r="1" spans="1:5" x14ac:dyDescent="0.2">
      <c r="A1" s="45" t="s">
        <v>111</v>
      </c>
      <c r="B1" s="46"/>
      <c r="C1" s="45">
        <f>Datos!C3</f>
        <v>2014</v>
      </c>
      <c r="D1" s="45"/>
      <c r="E1" s="45">
        <f>Datos!E3</f>
        <v>2015</v>
      </c>
    </row>
    <row r="2" spans="1:5" x14ac:dyDescent="0.2">
      <c r="A2" s="46" t="s">
        <v>89</v>
      </c>
      <c r="B2" s="46"/>
      <c r="C2" s="47">
        <f>Datos!$C$14</f>
        <v>9401</v>
      </c>
      <c r="D2" s="46"/>
      <c r="E2" s="47">
        <f>Datos!$E$14</f>
        <v>14130</v>
      </c>
    </row>
    <row r="3" spans="1:5" x14ac:dyDescent="0.2">
      <c r="A3" s="46" t="s">
        <v>115</v>
      </c>
      <c r="B3" s="46"/>
      <c r="C3" s="47">
        <f>Datos!$C$26</f>
        <v>13331</v>
      </c>
      <c r="D3" s="46"/>
      <c r="E3" s="47">
        <f>Datos!$E$26</f>
        <v>15794</v>
      </c>
    </row>
    <row r="4" spans="1:5" ht="30" x14ac:dyDescent="0.2">
      <c r="A4" s="48" t="s">
        <v>112</v>
      </c>
      <c r="B4" s="46"/>
      <c r="C4" s="49">
        <f>C2/C3</f>
        <v>0.70519840972170134</v>
      </c>
      <c r="D4" s="46"/>
      <c r="E4" s="49">
        <f>E2/E3</f>
        <v>0.89464353551981768</v>
      </c>
    </row>
    <row r="5" spans="1:5" x14ac:dyDescent="0.2">
      <c r="A5" s="46"/>
      <c r="B5" s="46"/>
      <c r="C5" s="46"/>
      <c r="D5" s="46"/>
      <c r="E5" s="46"/>
    </row>
    <row r="6" spans="1:5" x14ac:dyDescent="0.2">
      <c r="A6" s="46" t="s">
        <v>113</v>
      </c>
      <c r="B6" s="46"/>
      <c r="C6" s="47">
        <f>Datos!$C$14-Datos!$C$10</f>
        <v>8214</v>
      </c>
      <c r="D6" s="46"/>
      <c r="E6" s="47">
        <f>Datos!$E$14-Datos!$E$10</f>
        <v>12920</v>
      </c>
    </row>
    <row r="7" spans="1:5" x14ac:dyDescent="0.2">
      <c r="A7" s="46" t="s">
        <v>115</v>
      </c>
      <c r="B7" s="46"/>
      <c r="C7" s="50">
        <f>C3</f>
        <v>13331</v>
      </c>
      <c r="D7" s="46"/>
      <c r="E7" s="50">
        <f>E3</f>
        <v>15794</v>
      </c>
    </row>
    <row r="8" spans="1:5" ht="30" x14ac:dyDescent="0.2">
      <c r="A8" s="48" t="s">
        <v>114</v>
      </c>
      <c r="B8" s="46"/>
      <c r="C8" s="49">
        <f>C6/C7</f>
        <v>0.61615782761983351</v>
      </c>
      <c r="D8" s="46"/>
      <c r="E8" s="49">
        <f>E6/E7</f>
        <v>0.81803216411295432</v>
      </c>
    </row>
  </sheetData>
  <conditionalFormatting sqref="C4">
    <cfRule type="cellIs" dxfId="9" priority="9" stopIfTrue="1" operator="greaterThan">
      <formula>2</formula>
    </cfRule>
    <cfRule type="cellIs" dxfId="8" priority="10" operator="lessThan">
      <formula>2</formula>
    </cfRule>
  </conditionalFormatting>
  <conditionalFormatting sqref="E4">
    <cfRule type="cellIs" dxfId="7" priority="7" stopIfTrue="1" operator="greaterThan">
      <formula>2</formula>
    </cfRule>
    <cfRule type="cellIs" dxfId="6" priority="8" operator="lessThan">
      <formula>2</formula>
    </cfRule>
  </conditionalFormatting>
  <conditionalFormatting sqref="C8">
    <cfRule type="cellIs" dxfId="5" priority="5" stopIfTrue="1" operator="greaterThan">
      <formula>1</formula>
    </cfRule>
    <cfRule type="cellIs" dxfId="4" priority="6" operator="lessThan">
      <formula>1</formula>
    </cfRule>
  </conditionalFormatting>
  <conditionalFormatting sqref="E8">
    <cfRule type="cellIs" dxfId="3" priority="3" stopIfTrue="1" operator="greaterThan">
      <formula>2</formula>
    </cfRule>
    <cfRule type="cellIs" dxfId="2" priority="4" operator="lessThan">
      <formula>2</formula>
    </cfRule>
  </conditionalFormatting>
  <conditionalFormatting sqref="E8">
    <cfRule type="cellIs" dxfId="1" priority="1" stopIfTrue="1" operator="greaterThan">
      <formula>1</formula>
    </cfRule>
    <cfRule type="cellIs" dxfId="0" priority="2" operator="lessThan">
      <formula>1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workbookViewId="0">
      <selection sqref="A1:L27"/>
    </sheetView>
  </sheetViews>
  <sheetFormatPr baseColWidth="10" defaultColWidth="11.5" defaultRowHeight="15" x14ac:dyDescent="0.2"/>
  <cols>
    <col min="1" max="1" width="45.33203125" customWidth="1"/>
    <col min="2" max="2" width="2" customWidth="1"/>
    <col min="3" max="3" width="14.5" bestFit="1" customWidth="1"/>
    <col min="4" max="4" width="2" customWidth="1"/>
    <col min="5" max="5" width="14.5" bestFit="1" customWidth="1"/>
    <col min="6" max="6" width="7.1640625" customWidth="1"/>
  </cols>
  <sheetData>
    <row r="1" spans="1:5" ht="19" x14ac:dyDescent="0.25">
      <c r="A1" s="53" t="s">
        <v>47</v>
      </c>
      <c r="B1" s="53"/>
      <c r="C1" s="53"/>
      <c r="D1" s="53"/>
      <c r="E1" s="53"/>
    </row>
    <row r="2" spans="1:5" ht="16" x14ac:dyDescent="0.2">
      <c r="C2" s="1">
        <f>Datos!C3</f>
        <v>2014</v>
      </c>
      <c r="E2" s="1">
        <f>Datos!E3</f>
        <v>2015</v>
      </c>
    </row>
    <row r="3" spans="1:5" x14ac:dyDescent="0.2">
      <c r="A3" t="s">
        <v>53</v>
      </c>
      <c r="C3" s="9">
        <f>Datos!C37/Datos!C31</f>
        <v>0.47841374142601878</v>
      </c>
      <c r="E3" s="9">
        <f>Datos!E37/Datos!E31</f>
        <v>0.54804125806615522</v>
      </c>
    </row>
    <row r="4" spans="1:5" x14ac:dyDescent="0.2">
      <c r="A4" t="s">
        <v>54</v>
      </c>
      <c r="C4" s="9">
        <f>Datos!C43/Datos!C31</f>
        <v>-8.7670759121563205E-2</v>
      </c>
      <c r="E4" s="9">
        <f>Datos!E43/Datos!E31</f>
        <v>3.0689497484883897E-2</v>
      </c>
    </row>
    <row r="5" spans="1:5" x14ac:dyDescent="0.2">
      <c r="A5" t="s">
        <v>55</v>
      </c>
      <c r="C5" s="9">
        <f>Datos!C45/Datos!C31</f>
        <v>-0.14582973082022019</v>
      </c>
      <c r="E5" s="9">
        <f>Datos!E45/Datos!E31</f>
        <v>-2.0781464356485951E-2</v>
      </c>
    </row>
    <row r="6" spans="1:5" x14ac:dyDescent="0.2">
      <c r="A6" t="s">
        <v>56</v>
      </c>
      <c r="C6" s="9">
        <f>Datos!C49/Datos!C31</f>
        <v>-8.4154706323131018E-2</v>
      </c>
      <c r="E6" s="9">
        <f>Datos!E49/Datos!E31</f>
        <v>-7.0626492556272541E-2</v>
      </c>
    </row>
    <row r="7" spans="1:5" x14ac:dyDescent="0.2">
      <c r="A7" t="s">
        <v>57</v>
      </c>
      <c r="C7" s="9">
        <f>Datos!C53/Datos!C31</f>
        <v>0</v>
      </c>
      <c r="E7" s="9">
        <f>Datos!E53/Datos!E31</f>
        <v>0</v>
      </c>
    </row>
    <row r="8" spans="1:5" ht="16" x14ac:dyDescent="0.2">
      <c r="C8" s="1"/>
      <c r="E8" s="1"/>
    </row>
    <row r="9" spans="1:5" x14ac:dyDescent="0.2">
      <c r="A9" t="str">
        <f>Datos!A31</f>
        <v>Ingresos de explotación</v>
      </c>
      <c r="C9" s="4">
        <f>Datos!C31</f>
        <v>17349</v>
      </c>
      <c r="D9" s="4"/>
      <c r="E9" s="4">
        <f>Datos!E31</f>
        <v>19681</v>
      </c>
    </row>
    <row r="10" spans="1:5" x14ac:dyDescent="0.2">
      <c r="A10" t="str">
        <f>Datos!A59</f>
        <v>Resultado neto</v>
      </c>
      <c r="C10" s="4">
        <f>Datos!C59</f>
        <v>-3957</v>
      </c>
      <c r="D10" s="4"/>
      <c r="E10" s="4">
        <f>Datos!E59</f>
        <v>-988</v>
      </c>
    </row>
    <row r="11" spans="1:5" x14ac:dyDescent="0.2">
      <c r="A11" t="s">
        <v>48</v>
      </c>
      <c r="C11" s="9">
        <f>C10/C9</f>
        <v>-0.2280823102196092</v>
      </c>
      <c r="E11" s="9">
        <f>E10/E9</f>
        <v>-5.020070118388293E-2</v>
      </c>
    </row>
    <row r="13" spans="1:5" x14ac:dyDescent="0.2">
      <c r="A13" t="str">
        <f>Datos!A31</f>
        <v>Ingresos de explotación</v>
      </c>
      <c r="C13" s="7">
        <f>Datos!C31</f>
        <v>17349</v>
      </c>
      <c r="D13" s="7"/>
      <c r="E13" s="7">
        <f>Datos!E31</f>
        <v>19681</v>
      </c>
    </row>
    <row r="14" spans="1:5" x14ac:dyDescent="0.2">
      <c r="A14" t="str">
        <f>Datos!A16</f>
        <v>Total Activo</v>
      </c>
      <c r="C14" s="7">
        <f>Datos!C16</f>
        <v>28398</v>
      </c>
      <c r="D14" s="7"/>
      <c r="E14" s="7">
        <f>Datos!E16</f>
        <v>33677</v>
      </c>
    </row>
    <row r="15" spans="1:5" x14ac:dyDescent="0.2">
      <c r="A15" t="s">
        <v>49</v>
      </c>
      <c r="C15" s="10">
        <f>C13/C14</f>
        <v>0.61092330445806042</v>
      </c>
      <c r="E15" s="10">
        <f>E13/E14</f>
        <v>0.58440478664964224</v>
      </c>
    </row>
    <row r="17" spans="1:5" x14ac:dyDescent="0.2">
      <c r="A17" t="s">
        <v>51</v>
      </c>
      <c r="C17" s="9">
        <f>C11*C15</f>
        <v>-0.13934079864779209</v>
      </c>
      <c r="E17" s="9">
        <f>E11*E15</f>
        <v>-2.9337530065029545E-2</v>
      </c>
    </row>
    <row r="19" spans="1:5" x14ac:dyDescent="0.2">
      <c r="A19" t="str">
        <f>Datos!A18</f>
        <v>Fondos Propios</v>
      </c>
      <c r="C19" s="7">
        <f>Datos!C18</f>
        <v>1089</v>
      </c>
      <c r="D19" s="7"/>
      <c r="E19" s="7">
        <f>Datos!E18</f>
        <v>1851</v>
      </c>
    </row>
    <row r="20" spans="1:5" x14ac:dyDescent="0.2">
      <c r="A20" t="str">
        <f>Datos!A28</f>
        <v>Total Pasivo</v>
      </c>
      <c r="C20" s="7">
        <f>Datos!C28</f>
        <v>28398</v>
      </c>
      <c r="D20" s="7"/>
      <c r="E20" s="7">
        <f>Datos!E28</f>
        <v>33677</v>
      </c>
    </row>
    <row r="21" spans="1:5" x14ac:dyDescent="0.2">
      <c r="A21" t="s">
        <v>50</v>
      </c>
      <c r="C21" s="10">
        <f>C20/C19</f>
        <v>26.077134986225897</v>
      </c>
      <c r="E21" s="10">
        <f>E20/E19</f>
        <v>18.193949216639655</v>
      </c>
    </row>
    <row r="23" spans="1:5" x14ac:dyDescent="0.2">
      <c r="A23" t="s">
        <v>52</v>
      </c>
      <c r="C23" s="9">
        <f>C17*C21</f>
        <v>-3.6336088154269972</v>
      </c>
      <c r="E23" s="9">
        <f>E17*E21</f>
        <v>-0.53376553214478661</v>
      </c>
    </row>
    <row r="25" spans="1:5" x14ac:dyDescent="0.2">
      <c r="A25" t="s">
        <v>108</v>
      </c>
      <c r="C25" s="10">
        <f>(Datos!C11/Datos!C31)*365</f>
        <v>171.44417545679866</v>
      </c>
      <c r="E25" s="10">
        <f>(Datos!E11/Datos!E31)*365</f>
        <v>239.33362125908235</v>
      </c>
    </row>
    <row r="26" spans="1:5" x14ac:dyDescent="0.2">
      <c r="A26" t="s">
        <v>109</v>
      </c>
      <c r="C26" s="10">
        <f>(Datos!C23/Datos!C33)*365</f>
        <v>186.95712233395955</v>
      </c>
      <c r="E26" s="10">
        <f>(Datos!E23/Datos!E33)*365</f>
        <v>259.37774030354132</v>
      </c>
    </row>
    <row r="27" spans="1:5" x14ac:dyDescent="0.2">
      <c r="A27" t="s">
        <v>110</v>
      </c>
      <c r="C27" s="10">
        <f>(Datos!C10/Datos!C33)*365</f>
        <v>47.878771134932038</v>
      </c>
      <c r="E27" s="10">
        <f>(Datos!E10/Datos!E33)*365</f>
        <v>49.651489600899382</v>
      </c>
    </row>
  </sheetData>
  <mergeCells count="1">
    <mergeCell ref="A1:E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zoomScale="130" zoomScaleNormal="130" zoomScalePageLayoutView="130" workbookViewId="0"/>
  </sheetViews>
  <sheetFormatPr baseColWidth="10" defaultColWidth="11.5" defaultRowHeight="15" x14ac:dyDescent="0.2"/>
  <cols>
    <col min="1" max="1" width="44.1640625" customWidth="1"/>
    <col min="2" max="2" width="3" customWidth="1"/>
    <col min="3" max="3" width="16.1640625" customWidth="1"/>
    <col min="4" max="4" width="3" customWidth="1"/>
    <col min="5" max="5" width="16.1640625" customWidth="1"/>
  </cols>
  <sheetData>
    <row r="1" spans="1:5" x14ac:dyDescent="0.2">
      <c r="A1" t="s">
        <v>58</v>
      </c>
    </row>
    <row r="3" spans="1:5" ht="16" x14ac:dyDescent="0.2">
      <c r="C3" s="1">
        <f>Datos!C3</f>
        <v>2014</v>
      </c>
      <c r="D3" s="1"/>
      <c r="E3" s="1">
        <f>Datos!E3</f>
        <v>2015</v>
      </c>
    </row>
    <row r="4" spans="1:5" x14ac:dyDescent="0.2">
      <c r="A4" t="s">
        <v>59</v>
      </c>
      <c r="C4" s="9">
        <f>Datos!C35/Datos!C31</f>
        <v>0.52158625857398122</v>
      </c>
      <c r="D4" s="9"/>
      <c r="E4" s="9">
        <f>Datos!E35/Datos!E31</f>
        <v>0.45195874193384483</v>
      </c>
    </row>
    <row r="6" spans="1:5" x14ac:dyDescent="0.2">
      <c r="A6" t="s">
        <v>63</v>
      </c>
      <c r="C6" s="4">
        <f>Datos!C41</f>
        <v>9821</v>
      </c>
      <c r="D6" s="4"/>
      <c r="E6" s="4">
        <f>Datos!E41</f>
        <v>10182</v>
      </c>
    </row>
    <row r="7" spans="1:5" x14ac:dyDescent="0.2">
      <c r="A7" t="s">
        <v>60</v>
      </c>
      <c r="C7" s="4">
        <f>Datos!C48</f>
        <v>1462</v>
      </c>
      <c r="D7" s="4"/>
      <c r="E7" s="4">
        <f>Datos!E48</f>
        <v>1428</v>
      </c>
    </row>
    <row r="8" spans="1:5" x14ac:dyDescent="0.2">
      <c r="A8" t="s">
        <v>61</v>
      </c>
    </row>
    <row r="9" spans="1:5" x14ac:dyDescent="0.2">
      <c r="A9" t="s">
        <v>62</v>
      </c>
      <c r="C9" s="4">
        <f>SUM(C6:C8)</f>
        <v>11283</v>
      </c>
      <c r="E9" s="4">
        <f>SUM(E6:E8)</f>
        <v>11610</v>
      </c>
    </row>
    <row r="11" spans="1:5" x14ac:dyDescent="0.2">
      <c r="A11" t="s">
        <v>64</v>
      </c>
      <c r="C11" s="12">
        <f>C9/(1-C4)</f>
        <v>23584.188795180722</v>
      </c>
      <c r="D11" s="7"/>
      <c r="E11" s="12">
        <f>E9/(1-E4)</f>
        <v>21184.536436120899</v>
      </c>
    </row>
    <row r="13" spans="1:5" x14ac:dyDescent="0.2">
      <c r="A13" t="s">
        <v>25</v>
      </c>
      <c r="C13" s="7">
        <f>Datos!C44</f>
        <v>1009</v>
      </c>
      <c r="D13" s="7"/>
      <c r="E13" s="7">
        <f>Datos!E44</f>
        <v>1013</v>
      </c>
    </row>
    <row r="15" spans="1:5" x14ac:dyDescent="0.2">
      <c r="A15" t="s">
        <v>65</v>
      </c>
      <c r="C15" s="12">
        <f>(C6+C7+C13)/(1-C4)</f>
        <v>25693.241927710846</v>
      </c>
      <c r="E15" s="12">
        <f>(E6+E7+E13)/(1-E4)</f>
        <v>23032.937418876325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activeCell="E7" sqref="E7"/>
    </sheetView>
  </sheetViews>
  <sheetFormatPr baseColWidth="10" defaultColWidth="10.83203125" defaultRowHeight="15" x14ac:dyDescent="0.2"/>
  <cols>
    <col min="1" max="1" width="33" style="46" customWidth="1"/>
    <col min="2" max="2" width="3.33203125" style="46" customWidth="1"/>
    <col min="3" max="3" width="16.33203125" style="46" customWidth="1"/>
    <col min="4" max="4" width="3.33203125" style="46" customWidth="1"/>
    <col min="5" max="5" width="16.33203125" style="46" customWidth="1"/>
    <col min="6" max="16384" width="10.83203125" style="46"/>
  </cols>
  <sheetData>
    <row r="1" spans="1:5" x14ac:dyDescent="0.2">
      <c r="C1" s="45">
        <f>Datos!C3</f>
        <v>2014</v>
      </c>
      <c r="D1" s="45"/>
      <c r="E1" s="45">
        <f>Datos!E3</f>
        <v>2015</v>
      </c>
    </row>
    <row r="2" spans="1:5" x14ac:dyDescent="0.2">
      <c r="A2" s="46" t="s">
        <v>116</v>
      </c>
      <c r="C2" s="51">
        <f>'Du Pont'!C11</f>
        <v>-0.2280823102196092</v>
      </c>
      <c r="E2" s="51">
        <f>'Du Pont'!E11</f>
        <v>-5.020070118388293E-2</v>
      </c>
    </row>
    <row r="4" spans="1:5" x14ac:dyDescent="0.2">
      <c r="A4" s="46" t="s">
        <v>119</v>
      </c>
      <c r="C4" s="47">
        <f>Datos!C14-Datos!C25-Datos!C23</f>
        <v>-1083</v>
      </c>
      <c r="E4" s="47">
        <f>Datos!E14-Datos!E25-Datos!E23</f>
        <v>1382</v>
      </c>
    </row>
    <row r="5" spans="1:5" x14ac:dyDescent="0.2">
      <c r="A5" s="46" t="s">
        <v>117</v>
      </c>
      <c r="C5" s="52">
        <f>C4/Datos!C31</f>
        <v>-6.2424347224623901E-2</v>
      </c>
      <c r="E5" s="52">
        <f>E4/Datos!E31</f>
        <v>7.0220009145876727E-2</v>
      </c>
    </row>
    <row r="7" spans="1:5" ht="45" x14ac:dyDescent="0.2">
      <c r="A7" s="46" t="s">
        <v>118</v>
      </c>
      <c r="C7" s="52">
        <f>(C2)/(C5-C2)</f>
        <v>-1.3768267223382045</v>
      </c>
      <c r="E7" s="52">
        <f>(E2)/(E5-E2)</f>
        <v>-0.41687763713080173</v>
      </c>
    </row>
  </sheetData>
  <pageMargins left="0.75" right="0.75" top="1" bottom="1" header="0.5" footer="0.5"/>
  <pageSetup paperSize="9" orientation="portrait" horizontalDpi="4294967292" verticalDpi="429496729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58"/>
  <sheetViews>
    <sheetView zoomScale="90" zoomScaleNormal="90" zoomScalePageLayoutView="90" workbookViewId="0">
      <selection activeCell="C8" sqref="C8"/>
    </sheetView>
  </sheetViews>
  <sheetFormatPr baseColWidth="10" defaultColWidth="11.5" defaultRowHeight="15" x14ac:dyDescent="0.2"/>
  <cols>
    <col min="1" max="1" width="1.83203125" customWidth="1"/>
    <col min="2" max="2" width="4.33203125" customWidth="1"/>
    <col min="3" max="3" width="13.5" customWidth="1"/>
    <col min="4" max="5" width="7.5" customWidth="1"/>
    <col min="6" max="6" width="4.33203125" customWidth="1"/>
    <col min="7" max="7" width="13.5" customWidth="1"/>
    <col min="8" max="9" width="7.5" customWidth="1"/>
    <col min="10" max="10" width="4.33203125" customWidth="1"/>
    <col min="11" max="11" width="13.5" customWidth="1"/>
    <col min="12" max="13" width="7.5" customWidth="1"/>
    <col min="14" max="14" width="4.33203125" customWidth="1"/>
    <col min="15" max="15" width="13.5" customWidth="1"/>
    <col min="16" max="17" width="7.5" customWidth="1"/>
    <col min="18" max="18" width="4.33203125" customWidth="1"/>
    <col min="19" max="19" width="13.5" customWidth="1"/>
    <col min="20" max="21" width="7.5" customWidth="1"/>
    <col min="22" max="22" width="4.33203125" customWidth="1"/>
    <col min="23" max="23" width="13.5" customWidth="1"/>
  </cols>
  <sheetData>
    <row r="1" spans="2:24" ht="16" thickBot="1" x14ac:dyDescent="0.25"/>
    <row r="2" spans="2:24" ht="25" x14ac:dyDescent="0.25">
      <c r="B2" s="13"/>
      <c r="C2" s="14" t="s">
        <v>66</v>
      </c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5"/>
      <c r="R2" s="15"/>
      <c r="S2" s="15"/>
      <c r="T2" s="15"/>
      <c r="U2" s="15"/>
      <c r="V2" s="15"/>
      <c r="W2" s="15"/>
      <c r="X2" s="16"/>
    </row>
    <row r="3" spans="2:24" x14ac:dyDescent="0.2">
      <c r="B3" s="17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9"/>
    </row>
    <row r="4" spans="2:24" ht="16" thickBot="1" x14ac:dyDescent="0.25">
      <c r="B4" s="20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2"/>
    </row>
    <row r="5" spans="2:24" ht="16" thickBot="1" x14ac:dyDescent="0.25">
      <c r="B5" s="20"/>
      <c r="C5" s="23" t="s">
        <v>67</v>
      </c>
      <c r="D5" s="24"/>
      <c r="E5" s="24"/>
      <c r="F5" s="24"/>
      <c r="G5" s="24"/>
      <c r="H5" s="25"/>
      <c r="I5" s="25"/>
      <c r="J5" s="25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6" t="s">
        <v>68</v>
      </c>
      <c r="X5" s="22"/>
    </row>
    <row r="6" spans="2:24" x14ac:dyDescent="0.2">
      <c r="B6" s="20"/>
      <c r="C6" s="27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2"/>
    </row>
    <row r="7" spans="2:24" ht="16" thickBot="1" x14ac:dyDescent="0.25">
      <c r="B7" s="20"/>
      <c r="C7" s="28" t="s">
        <v>69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44" t="s">
        <v>70</v>
      </c>
      <c r="X7" s="22"/>
    </row>
    <row r="8" spans="2:24" ht="16" thickBot="1" x14ac:dyDescent="0.25">
      <c r="B8" s="20"/>
      <c r="C8" s="29">
        <f>Datos!E31</f>
        <v>19681</v>
      </c>
      <c r="D8" s="30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2"/>
    </row>
    <row r="9" spans="2:24" ht="16" thickBot="1" x14ac:dyDescent="0.25">
      <c r="B9" s="20"/>
      <c r="C9" s="21"/>
      <c r="D9" s="31"/>
      <c r="E9" s="21"/>
      <c r="F9" s="21"/>
      <c r="G9" s="28" t="s">
        <v>71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2"/>
    </row>
    <row r="10" spans="2:24" ht="16" thickBot="1" x14ac:dyDescent="0.25">
      <c r="B10" s="20"/>
      <c r="C10" s="28" t="s">
        <v>72</v>
      </c>
      <c r="D10" s="21"/>
      <c r="E10" s="32" t="s">
        <v>73</v>
      </c>
      <c r="F10" s="21"/>
      <c r="G10" s="43">
        <f>C8+C11-C14</f>
        <v>10824</v>
      </c>
      <c r="H10" s="33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2"/>
    </row>
    <row r="11" spans="2:24" ht="16" thickBot="1" x14ac:dyDescent="0.25">
      <c r="B11" s="20"/>
      <c r="C11" s="29">
        <f>Datos!E47+Datos!E51</f>
        <v>38</v>
      </c>
      <c r="D11" s="34"/>
      <c r="E11" s="21"/>
      <c r="F11" s="21"/>
      <c r="G11" s="21"/>
      <c r="H11" s="3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2"/>
    </row>
    <row r="12" spans="2:24" ht="16" thickBot="1" x14ac:dyDescent="0.25">
      <c r="B12" s="20"/>
      <c r="C12" s="21"/>
      <c r="D12" s="35"/>
      <c r="E12" s="21"/>
      <c r="F12" s="21"/>
      <c r="G12" s="21"/>
      <c r="H12" s="35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2"/>
    </row>
    <row r="13" spans="2:24" ht="16" thickBot="1" x14ac:dyDescent="0.25">
      <c r="B13" s="20"/>
      <c r="C13" s="28" t="s">
        <v>74</v>
      </c>
      <c r="D13" s="21"/>
      <c r="E13" s="32" t="s">
        <v>75</v>
      </c>
      <c r="F13" s="21"/>
      <c r="G13" s="21"/>
      <c r="H13" s="35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2"/>
    </row>
    <row r="14" spans="2:24" ht="16" thickBot="1" x14ac:dyDescent="0.25">
      <c r="B14" s="20"/>
      <c r="C14" s="29">
        <f>Datos!E35</f>
        <v>8895</v>
      </c>
      <c r="D14" s="34"/>
      <c r="E14" s="21"/>
      <c r="F14" s="21"/>
      <c r="G14" s="21"/>
      <c r="H14" s="35"/>
      <c r="I14" s="21"/>
      <c r="J14" s="21"/>
      <c r="K14" s="28" t="s">
        <v>76</v>
      </c>
      <c r="L14" s="21"/>
      <c r="M14" s="21"/>
      <c r="N14" s="21"/>
      <c r="O14" s="21"/>
      <c r="P14" s="21"/>
      <c r="Q14" s="21"/>
      <c r="T14" s="21"/>
      <c r="U14" s="21"/>
      <c r="V14" s="21"/>
      <c r="W14" s="21"/>
      <c r="X14" s="22"/>
    </row>
    <row r="15" spans="2:24" ht="16" thickBot="1" x14ac:dyDescent="0.25">
      <c r="B15" s="20"/>
      <c r="C15" s="21"/>
      <c r="D15" s="21"/>
      <c r="E15" s="21"/>
      <c r="F15" s="21"/>
      <c r="G15" s="21"/>
      <c r="H15" s="21"/>
      <c r="I15" s="32" t="s">
        <v>75</v>
      </c>
      <c r="J15" s="21"/>
      <c r="K15" s="43">
        <f>G10-G19</f>
        <v>-371</v>
      </c>
      <c r="L15" s="33"/>
      <c r="M15" s="21"/>
      <c r="N15" s="21"/>
      <c r="O15" s="21"/>
      <c r="P15" s="21"/>
      <c r="Q15" s="21"/>
      <c r="T15" s="21"/>
      <c r="U15" s="21"/>
      <c r="V15" s="21"/>
      <c r="W15" s="21"/>
      <c r="X15" s="22"/>
    </row>
    <row r="16" spans="2:24" ht="16" thickBot="1" x14ac:dyDescent="0.25">
      <c r="B16" s="20"/>
      <c r="C16" s="28" t="s">
        <v>77</v>
      </c>
      <c r="D16" s="21"/>
      <c r="E16" s="21"/>
      <c r="F16" s="21"/>
      <c r="G16" s="21"/>
      <c r="H16" s="35"/>
      <c r="I16" s="21"/>
      <c r="J16" s="21"/>
      <c r="K16" s="21"/>
      <c r="L16" s="31"/>
      <c r="M16" s="21"/>
      <c r="N16" s="21"/>
      <c r="O16" s="21"/>
      <c r="P16" s="21"/>
      <c r="Q16" s="21"/>
      <c r="T16" s="21"/>
      <c r="U16" s="21"/>
      <c r="V16" s="21"/>
      <c r="W16" s="21"/>
      <c r="X16" s="22"/>
    </row>
    <row r="17" spans="2:24" ht="16" thickBot="1" x14ac:dyDescent="0.25">
      <c r="B17" s="20"/>
      <c r="C17" s="29">
        <f>Datos!E41</f>
        <v>10182</v>
      </c>
      <c r="D17" s="30"/>
      <c r="E17" s="21"/>
      <c r="F17" s="21"/>
      <c r="G17" s="28" t="s">
        <v>78</v>
      </c>
      <c r="H17" s="35"/>
      <c r="I17" s="21"/>
      <c r="J17" s="21"/>
      <c r="K17" s="28" t="s">
        <v>79</v>
      </c>
      <c r="L17" s="21"/>
      <c r="M17" s="32" t="s">
        <v>75</v>
      </c>
      <c r="N17" s="21"/>
      <c r="O17" s="21"/>
      <c r="P17" s="21"/>
      <c r="Q17" s="21"/>
      <c r="T17" s="21"/>
      <c r="U17" s="21"/>
      <c r="V17" s="21"/>
      <c r="W17" s="21"/>
      <c r="X17" s="22"/>
    </row>
    <row r="18" spans="2:24" ht="16" thickBot="1" x14ac:dyDescent="0.25">
      <c r="B18" s="20"/>
      <c r="C18" s="21"/>
      <c r="D18" s="31"/>
      <c r="E18" s="21"/>
      <c r="F18" s="21"/>
      <c r="G18" s="28" t="s">
        <v>80</v>
      </c>
      <c r="H18" s="35"/>
      <c r="I18" s="21"/>
      <c r="J18" s="21"/>
      <c r="K18" s="29">
        <f>Datos!E48</f>
        <v>1428</v>
      </c>
      <c r="L18" s="34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2"/>
    </row>
    <row r="19" spans="2:24" ht="16" thickBot="1" x14ac:dyDescent="0.25">
      <c r="B19" s="20"/>
      <c r="C19" s="28" t="s">
        <v>25</v>
      </c>
      <c r="D19" s="21"/>
      <c r="E19" s="32" t="s">
        <v>73</v>
      </c>
      <c r="F19" s="21"/>
      <c r="G19" s="43">
        <f>C17+C20+C23</f>
        <v>11195</v>
      </c>
      <c r="H19" s="36"/>
      <c r="I19" s="21"/>
      <c r="J19" s="21"/>
      <c r="K19" s="21"/>
      <c r="L19" s="35"/>
      <c r="M19" s="21"/>
      <c r="N19" s="21"/>
      <c r="O19" s="28" t="s">
        <v>81</v>
      </c>
      <c r="P19" s="21"/>
      <c r="Q19" s="21"/>
      <c r="R19" s="21"/>
      <c r="S19" s="28"/>
      <c r="T19" s="21"/>
      <c r="U19" s="21"/>
      <c r="V19" s="21"/>
      <c r="W19" s="21"/>
      <c r="X19" s="22"/>
    </row>
    <row r="20" spans="2:24" ht="16" thickBot="1" x14ac:dyDescent="0.25">
      <c r="B20" s="20"/>
      <c r="C20" s="29">
        <f>Datos!E44</f>
        <v>1013</v>
      </c>
      <c r="D20" s="34"/>
      <c r="E20" s="21"/>
      <c r="F20" s="21"/>
      <c r="G20" s="21"/>
      <c r="H20" s="21"/>
      <c r="I20" s="21"/>
      <c r="J20" s="21"/>
      <c r="K20" s="28" t="s">
        <v>38</v>
      </c>
      <c r="L20" s="21"/>
      <c r="M20" s="32" t="s">
        <v>75</v>
      </c>
      <c r="N20" s="21"/>
      <c r="O20" s="43">
        <f>K15-K18-K21</f>
        <v>-988</v>
      </c>
      <c r="P20" s="21"/>
      <c r="Q20" s="21"/>
      <c r="R20" s="21"/>
      <c r="S20" s="28" t="s">
        <v>82</v>
      </c>
      <c r="T20" s="21"/>
      <c r="U20" s="21"/>
      <c r="V20" s="21"/>
      <c r="W20" s="21"/>
      <c r="X20" s="22"/>
    </row>
    <row r="21" spans="2:24" ht="16" thickBot="1" x14ac:dyDescent="0.25">
      <c r="B21" s="20"/>
      <c r="C21" s="21"/>
      <c r="D21" s="35"/>
      <c r="E21" s="21"/>
      <c r="F21" s="21"/>
      <c r="G21" s="21"/>
      <c r="H21" s="21"/>
      <c r="I21" s="21"/>
      <c r="J21" s="21"/>
      <c r="K21" s="29">
        <f>Datos!E57</f>
        <v>-811</v>
      </c>
      <c r="L21" s="34"/>
      <c r="M21" s="21"/>
      <c r="N21" s="21"/>
      <c r="O21" s="21"/>
      <c r="P21" s="31"/>
      <c r="Q21" s="21"/>
      <c r="R21" s="21"/>
      <c r="S21" s="28" t="s">
        <v>25</v>
      </c>
      <c r="T21" s="21"/>
      <c r="U21" s="21"/>
      <c r="V21" s="21"/>
      <c r="W21" s="21"/>
      <c r="X21" s="22"/>
    </row>
    <row r="22" spans="2:24" ht="16" thickBot="1" x14ac:dyDescent="0.25">
      <c r="B22" s="20"/>
      <c r="C22" s="28" t="s">
        <v>83</v>
      </c>
      <c r="D22" s="21"/>
      <c r="E22" s="32" t="s">
        <v>73</v>
      </c>
      <c r="F22" s="21"/>
      <c r="G22" s="21"/>
      <c r="H22" s="21"/>
      <c r="I22" s="21"/>
      <c r="J22" s="21"/>
      <c r="K22" s="21"/>
      <c r="L22" s="21"/>
      <c r="M22" s="21"/>
      <c r="N22" s="21"/>
      <c r="O22" s="37" t="s">
        <v>84</v>
      </c>
      <c r="P22" s="21"/>
      <c r="Q22" s="38" t="s">
        <v>75</v>
      </c>
      <c r="R22" s="21"/>
      <c r="S22" s="43">
        <f>K15+K18-K21</f>
        <v>1868</v>
      </c>
      <c r="T22" s="30"/>
      <c r="U22" s="21"/>
      <c r="V22" s="21"/>
      <c r="W22" s="28" t="s">
        <v>85</v>
      </c>
      <c r="X22" s="22"/>
    </row>
    <row r="23" spans="2:24" ht="16" thickBot="1" x14ac:dyDescent="0.25">
      <c r="B23" s="20"/>
      <c r="C23" s="29">
        <f>Datos!E52</f>
        <v>0</v>
      </c>
      <c r="D23" s="34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9">
        <f>C20</f>
        <v>1013</v>
      </c>
      <c r="P23" s="36"/>
      <c r="Q23" s="21"/>
      <c r="T23" s="31"/>
      <c r="U23" s="21"/>
      <c r="V23" s="21"/>
      <c r="W23" s="28" t="s">
        <v>86</v>
      </c>
      <c r="X23" s="22"/>
    </row>
    <row r="24" spans="2:24" ht="16" thickBot="1" x14ac:dyDescent="0.25">
      <c r="B24" s="20"/>
      <c r="K24" s="21"/>
      <c r="L24" s="21"/>
      <c r="M24" s="21"/>
      <c r="N24" s="21"/>
      <c r="O24" s="21"/>
      <c r="P24" s="21"/>
      <c r="Q24" s="21"/>
      <c r="S24" s="28"/>
      <c r="T24" s="35"/>
      <c r="U24" s="21"/>
      <c r="V24" s="21"/>
      <c r="W24" s="28" t="s">
        <v>87</v>
      </c>
      <c r="X24" s="22"/>
    </row>
    <row r="25" spans="2:24" ht="16" thickBot="1" x14ac:dyDescent="0.25">
      <c r="B25" s="20"/>
      <c r="C25" s="23" t="s">
        <v>43</v>
      </c>
      <c r="D25" s="24"/>
      <c r="E25" s="24"/>
      <c r="F25" s="24"/>
      <c r="G25" s="24"/>
      <c r="H25" s="21"/>
      <c r="I25" s="21"/>
      <c r="J25" s="21"/>
      <c r="K25" s="21"/>
      <c r="L25" s="21"/>
      <c r="M25" s="21"/>
      <c r="N25" s="21"/>
      <c r="O25" s="21"/>
      <c r="S25" s="28"/>
      <c r="T25" s="35"/>
      <c r="U25" s="32" t="s">
        <v>73</v>
      </c>
      <c r="V25" s="21"/>
      <c r="W25" s="43">
        <f>S22+S27-S39-S54</f>
        <v>480</v>
      </c>
      <c r="X25" s="22"/>
    </row>
    <row r="26" spans="2:24" ht="16" thickBot="1" x14ac:dyDescent="0.25">
      <c r="B26" s="20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S26" s="37" t="s">
        <v>88</v>
      </c>
      <c r="T26" s="35"/>
      <c r="U26" s="21"/>
      <c r="V26" s="21"/>
      <c r="X26" s="22"/>
    </row>
    <row r="27" spans="2:24" ht="16" thickBot="1" x14ac:dyDescent="0.25">
      <c r="B27" s="20"/>
      <c r="C27" s="28" t="s">
        <v>8</v>
      </c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S27" s="29">
        <f>K18</f>
        <v>1428</v>
      </c>
      <c r="T27" s="34"/>
      <c r="U27" s="21"/>
      <c r="V27" s="21"/>
      <c r="X27" s="22"/>
    </row>
    <row r="28" spans="2:24" ht="16" thickBot="1" x14ac:dyDescent="0.25">
      <c r="B28" s="20"/>
      <c r="C28" s="29">
        <f>Datos!E13</f>
        <v>15</v>
      </c>
      <c r="D28" s="30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T28" s="35"/>
      <c r="X28" s="22"/>
    </row>
    <row r="29" spans="2:24" ht="16" thickBot="1" x14ac:dyDescent="0.25">
      <c r="B29" s="20"/>
      <c r="C29" s="21"/>
      <c r="D29" s="31"/>
      <c r="E29" s="21"/>
      <c r="F29" s="21"/>
      <c r="G29" s="28" t="s">
        <v>89</v>
      </c>
      <c r="H29" s="21"/>
      <c r="I29" s="21"/>
      <c r="J29" s="21"/>
      <c r="K29" s="21"/>
      <c r="L29" s="21"/>
      <c r="M29" s="21"/>
      <c r="N29" s="21"/>
      <c r="O29" s="21"/>
      <c r="T29" s="35"/>
      <c r="X29" s="22"/>
    </row>
    <row r="30" spans="2:24" ht="16" thickBot="1" x14ac:dyDescent="0.25">
      <c r="B30" s="20"/>
      <c r="C30" s="28" t="s">
        <v>90</v>
      </c>
      <c r="D30" s="21"/>
      <c r="E30" s="32" t="s">
        <v>73</v>
      </c>
      <c r="F30" s="21"/>
      <c r="G30" s="43">
        <f>C28+C31+C34+C37</f>
        <v>14130</v>
      </c>
      <c r="H30" s="30"/>
      <c r="I30" s="21"/>
      <c r="J30" s="21"/>
      <c r="K30" s="21"/>
      <c r="L30" s="21"/>
      <c r="M30" s="21"/>
      <c r="N30" s="21"/>
      <c r="O30" s="21"/>
      <c r="T30" s="35"/>
      <c r="X30" s="22"/>
    </row>
    <row r="31" spans="2:24" ht="16" thickBot="1" x14ac:dyDescent="0.25">
      <c r="B31" s="20"/>
      <c r="C31" s="29">
        <f>Datos!E11</f>
        <v>12905</v>
      </c>
      <c r="D31" s="34"/>
      <c r="E31" s="21"/>
      <c r="F31" s="21"/>
      <c r="G31" s="21"/>
      <c r="H31" s="35"/>
      <c r="I31" s="21"/>
      <c r="J31" s="21"/>
      <c r="L31" s="21"/>
      <c r="M31" s="21"/>
      <c r="N31" s="21"/>
      <c r="O31" s="21"/>
      <c r="T31" s="35"/>
      <c r="X31" s="22"/>
    </row>
    <row r="32" spans="2:24" ht="16" thickBot="1" x14ac:dyDescent="0.25">
      <c r="B32" s="20"/>
      <c r="C32" s="21"/>
      <c r="D32" s="35"/>
      <c r="E32" s="21"/>
      <c r="F32" s="21"/>
      <c r="G32" s="21"/>
      <c r="H32" s="35"/>
      <c r="I32" s="21"/>
      <c r="J32" s="21"/>
      <c r="L32" s="21"/>
      <c r="M32" s="21"/>
      <c r="N32" s="21"/>
      <c r="O32" s="21"/>
      <c r="T32" s="35"/>
      <c r="X32" s="22"/>
    </row>
    <row r="33" spans="2:24" ht="16" thickBot="1" x14ac:dyDescent="0.25">
      <c r="B33" s="20"/>
      <c r="C33" s="28" t="s">
        <v>91</v>
      </c>
      <c r="D33" s="21"/>
      <c r="E33" s="32" t="s">
        <v>73</v>
      </c>
      <c r="F33" s="21"/>
      <c r="G33" s="21"/>
      <c r="H33" s="35"/>
      <c r="I33" s="21"/>
      <c r="J33" s="21"/>
      <c r="K33" s="28" t="s">
        <v>92</v>
      </c>
      <c r="L33" s="21"/>
      <c r="M33" s="21"/>
      <c r="N33" s="21"/>
      <c r="O33" s="21"/>
      <c r="T33" s="35"/>
      <c r="U33" s="32" t="s">
        <v>75</v>
      </c>
      <c r="X33" s="22"/>
    </row>
    <row r="34" spans="2:24" ht="16" thickBot="1" x14ac:dyDescent="0.25">
      <c r="B34" s="20"/>
      <c r="C34" s="29">
        <f>Datos!E10</f>
        <v>1210</v>
      </c>
      <c r="D34" s="34"/>
      <c r="E34" s="21"/>
      <c r="F34" s="21"/>
      <c r="H34" s="35"/>
      <c r="K34" s="28" t="s">
        <v>93</v>
      </c>
      <c r="L34" s="21"/>
      <c r="M34" s="21"/>
      <c r="N34" s="21"/>
      <c r="O34" s="21"/>
      <c r="T34" s="35"/>
      <c r="X34" s="22"/>
    </row>
    <row r="35" spans="2:24" ht="16" thickBot="1" x14ac:dyDescent="0.25">
      <c r="B35" s="20"/>
      <c r="C35" s="21"/>
      <c r="D35" s="35"/>
      <c r="E35" s="21"/>
      <c r="H35" s="35"/>
      <c r="K35" s="28" t="s">
        <v>94</v>
      </c>
      <c r="L35" s="21"/>
      <c r="M35" s="21"/>
      <c r="N35" s="21"/>
      <c r="O35" s="21"/>
      <c r="T35" s="35"/>
      <c r="X35" s="22"/>
    </row>
    <row r="36" spans="2:24" ht="16" thickBot="1" x14ac:dyDescent="0.25">
      <c r="B36" s="20"/>
      <c r="C36" s="28" t="s">
        <v>95</v>
      </c>
      <c r="D36" s="21"/>
      <c r="E36" s="32" t="s">
        <v>73</v>
      </c>
      <c r="H36" s="35"/>
      <c r="I36" s="32" t="s">
        <v>75</v>
      </c>
      <c r="J36" s="21"/>
      <c r="K36" s="43">
        <f>G30-G42</f>
        <v>-1664</v>
      </c>
      <c r="L36" s="21"/>
      <c r="M36" s="21"/>
      <c r="N36" s="21"/>
      <c r="O36" s="21"/>
      <c r="S36" s="28" t="s">
        <v>96</v>
      </c>
      <c r="T36" s="35"/>
      <c r="X36" s="22"/>
    </row>
    <row r="37" spans="2:24" ht="16" thickBot="1" x14ac:dyDescent="0.25">
      <c r="B37" s="20"/>
      <c r="C37" s="29">
        <f>Datos!E12</f>
        <v>0</v>
      </c>
      <c r="D37" s="34"/>
      <c r="E37" s="21"/>
      <c r="F37" s="21"/>
      <c r="H37" s="35"/>
      <c r="K37" s="21"/>
      <c r="L37" s="31"/>
      <c r="M37" s="21"/>
      <c r="N37" s="21"/>
      <c r="O37" s="21"/>
      <c r="S37" s="28" t="s">
        <v>97</v>
      </c>
      <c r="T37" s="35"/>
      <c r="X37" s="22"/>
    </row>
    <row r="38" spans="2:24" ht="16" thickBot="1" x14ac:dyDescent="0.25">
      <c r="B38" s="20"/>
      <c r="C38" s="21"/>
      <c r="D38" s="21"/>
      <c r="E38" s="21"/>
      <c r="F38" s="21"/>
      <c r="G38" s="21"/>
      <c r="H38" s="35"/>
      <c r="I38" s="21"/>
      <c r="J38" s="21"/>
      <c r="K38" s="28" t="s">
        <v>92</v>
      </c>
      <c r="L38" s="35"/>
      <c r="N38" s="21"/>
      <c r="O38" s="21"/>
      <c r="S38" s="28" t="s">
        <v>98</v>
      </c>
      <c r="T38" s="35"/>
      <c r="X38" s="22"/>
    </row>
    <row r="39" spans="2:24" ht="16" thickBot="1" x14ac:dyDescent="0.25">
      <c r="B39" s="20"/>
      <c r="C39" s="28" t="s">
        <v>99</v>
      </c>
      <c r="D39" s="21"/>
      <c r="E39" s="21"/>
      <c r="F39" s="21"/>
      <c r="G39" s="21"/>
      <c r="H39" s="35"/>
      <c r="I39" s="21"/>
      <c r="J39" s="21"/>
      <c r="K39" s="28" t="s">
        <v>93</v>
      </c>
      <c r="M39" s="32" t="s">
        <v>75</v>
      </c>
      <c r="N39" s="21"/>
      <c r="O39" s="21"/>
      <c r="S39" s="43">
        <f>K36-K41</f>
        <v>2266</v>
      </c>
      <c r="T39" s="34"/>
      <c r="X39" s="22"/>
    </row>
    <row r="40" spans="2:24" ht="16" thickBot="1" x14ac:dyDescent="0.25">
      <c r="B40" s="20"/>
      <c r="C40" s="29">
        <f>Datos!E23</f>
        <v>6321</v>
      </c>
      <c r="D40" s="30"/>
      <c r="E40" s="21"/>
      <c r="F40" s="21"/>
      <c r="G40" s="21"/>
      <c r="H40" s="35"/>
      <c r="I40" s="21"/>
      <c r="J40" s="21"/>
      <c r="K40" s="28" t="s">
        <v>100</v>
      </c>
      <c r="L40" s="35"/>
      <c r="N40" s="21"/>
      <c r="O40" s="21"/>
      <c r="T40" s="35"/>
      <c r="X40" s="22"/>
    </row>
    <row r="41" spans="2:24" ht="16" thickBot="1" x14ac:dyDescent="0.25">
      <c r="B41" s="20"/>
      <c r="C41" s="21"/>
      <c r="D41" s="31"/>
      <c r="E41" s="21"/>
      <c r="F41" s="21"/>
      <c r="G41" s="28" t="s">
        <v>101</v>
      </c>
      <c r="H41" s="35"/>
      <c r="I41" s="21"/>
      <c r="J41" s="21"/>
      <c r="K41" s="29">
        <f>Datos!C21-Datos!C8</f>
        <v>-3930</v>
      </c>
      <c r="L41" s="34"/>
      <c r="M41" s="21"/>
      <c r="N41" s="21"/>
      <c r="O41" s="21"/>
      <c r="T41" s="35"/>
      <c r="U41" s="21"/>
      <c r="V41" s="21"/>
      <c r="W41" s="21"/>
      <c r="X41" s="22"/>
    </row>
    <row r="42" spans="2:24" ht="16" thickBot="1" x14ac:dyDescent="0.25">
      <c r="B42" s="20"/>
      <c r="C42" s="28" t="s">
        <v>102</v>
      </c>
      <c r="D42" s="21"/>
      <c r="E42" s="32" t="s">
        <v>73</v>
      </c>
      <c r="F42" s="21"/>
      <c r="G42" s="43">
        <f>C40+C43+C46</f>
        <v>15794</v>
      </c>
      <c r="H42" s="36"/>
      <c r="J42" s="21"/>
      <c r="O42" s="21"/>
      <c r="T42" s="35"/>
      <c r="U42" s="21"/>
      <c r="V42" s="21"/>
      <c r="W42" s="21"/>
      <c r="X42" s="22"/>
    </row>
    <row r="43" spans="2:24" ht="16" thickBot="1" x14ac:dyDescent="0.25">
      <c r="B43" s="20"/>
      <c r="C43" s="29">
        <f>Datos!E24</f>
        <v>3046</v>
      </c>
      <c r="D43" s="34"/>
      <c r="E43" s="21"/>
      <c r="F43" s="21"/>
      <c r="G43" s="21"/>
      <c r="J43" s="21"/>
      <c r="O43" s="21"/>
      <c r="T43" s="35"/>
      <c r="U43" s="21"/>
      <c r="V43" s="21"/>
      <c r="W43" s="21"/>
      <c r="X43" s="22"/>
    </row>
    <row r="44" spans="2:24" ht="16" thickBot="1" x14ac:dyDescent="0.25">
      <c r="B44" s="20"/>
      <c r="C44" s="21"/>
      <c r="D44" s="35"/>
      <c r="E44" s="21"/>
      <c r="F44" s="21"/>
      <c r="T44" s="35"/>
      <c r="U44" s="21"/>
      <c r="V44" s="21"/>
      <c r="W44" s="21"/>
      <c r="X44" s="22"/>
    </row>
    <row r="45" spans="2:24" ht="16" thickBot="1" x14ac:dyDescent="0.25">
      <c r="B45" s="20"/>
      <c r="C45" s="28" t="s">
        <v>95</v>
      </c>
      <c r="D45" s="21"/>
      <c r="E45" s="32" t="s">
        <v>73</v>
      </c>
      <c r="F45" s="21"/>
      <c r="T45" s="35"/>
      <c r="U45" s="21"/>
      <c r="V45" s="21"/>
      <c r="W45" s="21"/>
      <c r="X45" s="22"/>
    </row>
    <row r="46" spans="2:24" ht="16" thickBot="1" x14ac:dyDescent="0.25">
      <c r="B46" s="20"/>
      <c r="C46" s="29">
        <f>Datos!E25</f>
        <v>6427</v>
      </c>
      <c r="D46" s="34"/>
      <c r="E46" s="21"/>
      <c r="F46" s="21"/>
      <c r="T46" s="35"/>
      <c r="U46" s="32" t="s">
        <v>75</v>
      </c>
      <c r="V46" s="21"/>
      <c r="W46" s="21"/>
      <c r="X46" s="22"/>
    </row>
    <row r="47" spans="2:24" x14ac:dyDescent="0.2">
      <c r="B47" s="20"/>
      <c r="T47" s="35"/>
      <c r="U47" s="21"/>
      <c r="V47" s="21"/>
      <c r="W47" s="21"/>
      <c r="X47" s="22"/>
    </row>
    <row r="48" spans="2:24" x14ac:dyDescent="0.2">
      <c r="B48" s="20"/>
      <c r="C48" s="23" t="s">
        <v>103</v>
      </c>
      <c r="D48" s="24"/>
      <c r="E48" s="24"/>
      <c r="F48" s="24"/>
      <c r="G48" s="24"/>
      <c r="T48" s="35"/>
      <c r="U48" s="21"/>
      <c r="V48" s="21"/>
      <c r="W48" s="21"/>
      <c r="X48" s="22"/>
    </row>
    <row r="49" spans="2:24" x14ac:dyDescent="0.2">
      <c r="B49" s="20"/>
      <c r="T49" s="35"/>
      <c r="U49" s="21"/>
      <c r="V49" s="21"/>
      <c r="W49" s="21"/>
      <c r="X49" s="22"/>
    </row>
    <row r="50" spans="2:24" x14ac:dyDescent="0.2">
      <c r="B50" s="20"/>
      <c r="C50" s="28" t="s">
        <v>104</v>
      </c>
      <c r="T50" s="35"/>
      <c r="U50" s="21"/>
      <c r="V50" s="21"/>
      <c r="W50" s="21"/>
      <c r="X50" s="22"/>
    </row>
    <row r="51" spans="2:24" ht="16" thickBot="1" x14ac:dyDescent="0.25">
      <c r="B51" s="20"/>
      <c r="C51" s="28" t="s">
        <v>105</v>
      </c>
      <c r="D51" s="21"/>
      <c r="E51" s="21"/>
      <c r="F51" s="21"/>
      <c r="S51" s="28"/>
      <c r="T51" s="35"/>
      <c r="U51" s="21"/>
      <c r="V51" s="21"/>
      <c r="W51" s="21"/>
      <c r="X51" s="22"/>
    </row>
    <row r="52" spans="2:24" ht="16" thickBot="1" x14ac:dyDescent="0.25">
      <c r="B52" s="20"/>
      <c r="C52" s="29">
        <f>Datos!E8</f>
        <v>19547</v>
      </c>
      <c r="D52" s="30"/>
      <c r="E52" s="21"/>
      <c r="F52" s="21"/>
      <c r="S52" s="28" t="s">
        <v>103</v>
      </c>
      <c r="T52" s="35"/>
      <c r="U52" s="21"/>
      <c r="V52" s="21"/>
      <c r="W52" s="21"/>
      <c r="X52" s="22"/>
    </row>
    <row r="53" spans="2:24" ht="16" thickBot="1" x14ac:dyDescent="0.25">
      <c r="B53" s="20"/>
      <c r="C53" s="21"/>
      <c r="D53" s="31"/>
      <c r="E53" s="21"/>
      <c r="F53" s="21"/>
      <c r="S53" s="28" t="s">
        <v>106</v>
      </c>
      <c r="T53" s="35"/>
      <c r="U53" s="21"/>
      <c r="V53" s="21"/>
      <c r="W53" s="21"/>
      <c r="X53" s="22"/>
    </row>
    <row r="54" spans="2:24" ht="16" thickBot="1" x14ac:dyDescent="0.25">
      <c r="B54" s="20"/>
      <c r="C54" s="28" t="s">
        <v>104</v>
      </c>
      <c r="D54" s="21"/>
      <c r="E54" s="32" t="s">
        <v>75</v>
      </c>
      <c r="F54" s="21"/>
      <c r="S54" s="43">
        <f>C52-C56</f>
        <v>550</v>
      </c>
      <c r="T54" s="34"/>
      <c r="U54" s="21"/>
      <c r="V54" s="21"/>
      <c r="W54" s="21"/>
      <c r="X54" s="22"/>
    </row>
    <row r="55" spans="2:24" ht="16" thickBot="1" x14ac:dyDescent="0.25">
      <c r="B55" s="20"/>
      <c r="C55" s="28" t="s">
        <v>107</v>
      </c>
      <c r="D55" s="35"/>
      <c r="E55" s="21"/>
      <c r="F55" s="21"/>
      <c r="T55" s="21"/>
      <c r="U55" s="21"/>
      <c r="V55" s="21"/>
      <c r="W55" s="21"/>
      <c r="X55" s="22"/>
    </row>
    <row r="56" spans="2:24" ht="16" thickBot="1" x14ac:dyDescent="0.25">
      <c r="B56" s="20"/>
      <c r="C56" s="29">
        <f>Datos!C8</f>
        <v>18997</v>
      </c>
      <c r="D56" s="34"/>
      <c r="T56" s="21"/>
      <c r="U56" s="21"/>
      <c r="V56" s="21"/>
      <c r="W56" s="21"/>
      <c r="X56" s="22"/>
    </row>
    <row r="57" spans="2:24" x14ac:dyDescent="0.2">
      <c r="B57" s="20"/>
      <c r="T57" s="21"/>
      <c r="U57" s="21"/>
      <c r="V57" s="21"/>
      <c r="W57" s="21"/>
      <c r="X57" s="22"/>
    </row>
    <row r="58" spans="2:24" ht="16" thickBot="1" x14ac:dyDescent="0.25">
      <c r="B58" s="39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1"/>
      <c r="X58" s="4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Datos</vt:lpstr>
      <vt:lpstr>OyA</vt:lpstr>
      <vt:lpstr>RatioTesoreria</vt:lpstr>
      <vt:lpstr>Du Pont</vt:lpstr>
      <vt:lpstr>PMuerto</vt:lpstr>
      <vt:lpstr>Crecimiento</vt:lpstr>
      <vt:lpstr>FCF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Iñigo Irizar Arcelus</dc:creator>
  <cp:lastModifiedBy>Usuario de Microsoft Office</cp:lastModifiedBy>
  <dcterms:created xsi:type="dcterms:W3CDTF">2009-09-23T15:22:35Z</dcterms:created>
  <dcterms:modified xsi:type="dcterms:W3CDTF">2017-06-03T09:33:32Z</dcterms:modified>
</cp:coreProperties>
</file>